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omments4.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drawings/drawing9.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0730" windowHeight="11160" tabRatio="922" firstSheet="1" activeTab="14"/>
  </bookViews>
  <sheets>
    <sheet name="Hoja1" sheetId="39" state="hidden" r:id="rId1"/>
    <sheet name="3. P y G PRESENTACION" sheetId="1" r:id="rId2"/>
    <sheet name="1.-2. Balance Ajustado" sheetId="36" r:id="rId3"/>
    <sheet name="4. Flujos de Tesorería" sheetId="23" r:id="rId4"/>
    <sheet name="Conciliación Balance Tesorería" sheetId="41" state="hidden" r:id="rId5"/>
    <sheet name="1.-2.Balance" sheetId="22" state="hidden" r:id="rId6"/>
    <sheet name="Tesorería" sheetId="24" state="hidden" r:id="rId7"/>
    <sheet name="5. Anexo inversiones" sheetId="30" r:id="rId8"/>
    <sheet name="6. Actuación, inversiones y Fin" sheetId="29" r:id="rId9"/>
    <sheet name="7. Indicadores" sheetId="27" r:id="rId10"/>
    <sheet name="8. Financiación de actividades" sheetId="28" r:id="rId11"/>
    <sheet name="9.  Memoria" sheetId="31" r:id="rId12"/>
    <sheet name="12.- estado deuda" sheetId="34" r:id="rId13"/>
    <sheet name="13.subvenc." sheetId="33" r:id="rId14"/>
    <sheet name="14. plantillas y retrib." sheetId="32" r:id="rId15"/>
    <sheet name="A ACLARAR" sheetId="3" state="hidden" r:id="rId16"/>
    <sheet name="Info Pasajeros e Ingresos P20" sheetId="5" state="hidden" r:id="rId17"/>
    <sheet name="Explicación Variaciones Ingreso" sheetId="19" state="hidden" r:id="rId18"/>
    <sheet name="600" sheetId="9" state="hidden" r:id="rId19"/>
    <sheet name="Hoja3" sheetId="43" state="hidden" r:id="rId20"/>
    <sheet name="PREVISIÓN PRÉSTAMO" sheetId="21" state="hidden" r:id="rId21"/>
    <sheet name="Ventas Ene-Ago" sheetId="18" state="hidden" r:id="rId22"/>
    <sheet name="Ventas Ytd" sheetId="10" state="hidden" r:id="rId23"/>
    <sheet name="Pendientes" sheetId="40" state="hidden" r:id="rId24"/>
    <sheet name="Tablas de Amortización" sheetId="20" state="hidden" r:id="rId25"/>
    <sheet name="Adelanto 2019" sheetId="37" state="hidden" r:id="rId26"/>
  </sheets>
  <definedNames>
    <definedName name="_xlnm._FilterDatabase" localSheetId="2" hidden="1">'1.-2. Balance Ajustado'!$A$11:$C$64</definedName>
    <definedName name="_xlnm._FilterDatabase" localSheetId="5" hidden="1">'1.-2.Balance'!$A$9:$E$45</definedName>
    <definedName name="_xlnm._FilterDatabase" localSheetId="8" hidden="1">'6. Actuación, inversiones y Fin'!$I$10:$I$64</definedName>
    <definedName name="_xlnm._FilterDatabase" localSheetId="6" hidden="1">Tesorería!$B$3:$T$61</definedName>
    <definedName name="_xlnm._FilterDatabase" localSheetId="22" hidden="1">'Ventas Ytd'!$A$5:$I$123</definedName>
    <definedName name="_xlnm.Print_Area" localSheetId="2">'1.-2. Balance Ajustado'!$A$1:$C$64</definedName>
    <definedName name="_xlnm.Print_Area" localSheetId="5">'1.-2.Balance'!$A$9:$E$101</definedName>
    <definedName name="_xlnm.Print_Area" localSheetId="12">'12.- estado deuda'!$A$1:$M$60</definedName>
    <definedName name="_xlnm.Print_Area" localSheetId="13">'13.subvenc.'!$A$1:$H$47</definedName>
    <definedName name="_xlnm.Print_Area" localSheetId="14">'14. plantillas y retrib.'!$A$1:$I$59</definedName>
    <definedName name="_xlnm.Print_Area" localSheetId="1">'3. P y G PRESENTACION'!$A$2:$C$45</definedName>
    <definedName name="_xlnm.Print_Area" localSheetId="3">'4. Flujos de Tesorería'!$A$1:$D$85</definedName>
    <definedName name="_xlnm.Print_Area" localSheetId="7">'5. Anexo inversiones'!$A$1:$R$67</definedName>
    <definedName name="_xlnm.Print_Area" localSheetId="8">'6. Actuación, inversiones y Fin'!$A$1:$I$64</definedName>
    <definedName name="_xlnm.Print_Area" localSheetId="9">'7. Indicadores'!$A$1:$C$86</definedName>
    <definedName name="_xlnm.Print_Area" localSheetId="10">'8. Financiación de actividades'!$A$1:$H$25</definedName>
    <definedName name="_xlnm.Print_Area" localSheetId="11">'9.  Memoria'!$A$1:$I$22</definedName>
    <definedName name="_xlnm.Print_Area" localSheetId="6">Tesorería!$B$3:$T$61</definedName>
    <definedName name="_xlnm.Print_Titles" localSheetId="12">'12.- estado deuda'!$2:$12</definedName>
    <definedName name="_xlnm.Print_Titles" localSheetId="1">'3. P y G PRESENTACION'!$2:$9</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29"/>
  <c r="B34" l="1"/>
  <c r="B36" l="1"/>
  <c r="B35"/>
  <c r="B33"/>
  <c r="B32"/>
  <c r="B31"/>
  <c r="B30"/>
  <c r="B29"/>
  <c r="B28"/>
  <c r="B27"/>
  <c r="B26"/>
  <c r="B25"/>
  <c r="B24"/>
  <c r="B23"/>
  <c r="B22"/>
  <c r="B21"/>
  <c r="B20"/>
  <c r="B19"/>
  <c r="B18"/>
  <c r="B17"/>
  <c r="B16"/>
  <c r="B15"/>
  <c r="B14"/>
  <c r="B12"/>
  <c r="B11"/>
  <c r="Y76" i="22" l="1"/>
  <c r="M76"/>
  <c r="H55" i="24"/>
  <c r="G55"/>
  <c r="F55"/>
  <c r="E55"/>
  <c r="D55"/>
  <c r="C55"/>
  <c r="H9"/>
  <c r="G9"/>
  <c r="F9"/>
  <c r="E9"/>
  <c r="D9"/>
  <c r="C9"/>
  <c r="C36" s="1"/>
  <c r="H35"/>
  <c r="G35"/>
  <c r="F35"/>
  <c r="E35"/>
  <c r="D35"/>
  <c r="C35"/>
  <c r="G36" l="1"/>
  <c r="G56" s="1"/>
  <c r="D36"/>
  <c r="D56" s="1"/>
  <c r="C56"/>
  <c r="H36"/>
  <c r="H56" s="1"/>
  <c r="F36"/>
  <c r="F56" s="1"/>
  <c r="E36"/>
  <c r="E56" s="1"/>
  <c r="H57" l="1"/>
  <c r="G57"/>
  <c r="F57"/>
  <c r="E57"/>
  <c r="D57"/>
  <c r="C57"/>
  <c r="H99" i="22" l="1"/>
  <c r="I99" s="1"/>
  <c r="J99" s="1"/>
  <c r="K99" s="1"/>
  <c r="L99" s="1"/>
  <c r="M99" s="1"/>
  <c r="N99" s="1"/>
  <c r="O99" s="1"/>
  <c r="P99" s="1"/>
  <c r="Q99" s="1"/>
  <c r="R99" s="1"/>
  <c r="S99" s="1"/>
  <c r="T99" s="1"/>
  <c r="U99" s="1"/>
  <c r="V99" s="1"/>
  <c r="W99" s="1"/>
  <c r="X99" s="1"/>
  <c r="Y99" s="1"/>
  <c r="H98"/>
  <c r="I98" s="1"/>
  <c r="J98" s="1"/>
  <c r="K98" s="1"/>
  <c r="L98" s="1"/>
  <c r="M98" s="1"/>
  <c r="N98" s="1"/>
  <c r="O98" s="1"/>
  <c r="P98" s="1"/>
  <c r="Q98" s="1"/>
  <c r="R98" s="1"/>
  <c r="S98" s="1"/>
  <c r="T98" s="1"/>
  <c r="U98" s="1"/>
  <c r="V98" s="1"/>
  <c r="W98" s="1"/>
  <c r="X98" s="1"/>
  <c r="Y98" s="1"/>
  <c r="H97"/>
  <c r="I97" s="1"/>
  <c r="J97" s="1"/>
  <c r="K97" s="1"/>
  <c r="L97" s="1"/>
  <c r="M97" s="1"/>
  <c r="N97" s="1"/>
  <c r="O97" s="1"/>
  <c r="P97" s="1"/>
  <c r="Q97" s="1"/>
  <c r="R97" s="1"/>
  <c r="S97" s="1"/>
  <c r="T97" s="1"/>
  <c r="U97" s="1"/>
  <c r="V97" s="1"/>
  <c r="W97" s="1"/>
  <c r="X97" s="1"/>
  <c r="Y97" s="1"/>
  <c r="H95"/>
  <c r="I95" s="1"/>
  <c r="J95" s="1"/>
  <c r="K95" s="1"/>
  <c r="L95" s="1"/>
  <c r="M95" s="1"/>
  <c r="N95" s="1"/>
  <c r="O95" s="1"/>
  <c r="P95" s="1"/>
  <c r="Q95" s="1"/>
  <c r="R95" s="1"/>
  <c r="S95" s="1"/>
  <c r="T95" s="1"/>
  <c r="U95" s="1"/>
  <c r="V95" s="1"/>
  <c r="W95" s="1"/>
  <c r="X95" s="1"/>
  <c r="Y95" s="1"/>
  <c r="H94"/>
  <c r="I94" s="1"/>
  <c r="J94" s="1"/>
  <c r="K94" s="1"/>
  <c r="L94" s="1"/>
  <c r="M94" s="1"/>
  <c r="N94" s="1"/>
  <c r="O94" s="1"/>
  <c r="P94" s="1"/>
  <c r="Q94" s="1"/>
  <c r="R94" s="1"/>
  <c r="S94" s="1"/>
  <c r="T94" s="1"/>
  <c r="U94" s="1"/>
  <c r="V94" s="1"/>
  <c r="W94" s="1"/>
  <c r="X94" s="1"/>
  <c r="Y94" s="1"/>
  <c r="H78"/>
  <c r="I78" s="1"/>
  <c r="J78" s="1"/>
  <c r="K78" s="1"/>
  <c r="L78" s="1"/>
  <c r="M78" s="1"/>
  <c r="N78" s="1"/>
  <c r="O78" s="1"/>
  <c r="P78" s="1"/>
  <c r="Q78" s="1"/>
  <c r="R78" s="1"/>
  <c r="S78" s="1"/>
  <c r="T78" s="1"/>
  <c r="U78" s="1"/>
  <c r="V78" s="1"/>
  <c r="W78" s="1"/>
  <c r="X78" s="1"/>
  <c r="Y78" s="1"/>
  <c r="H58"/>
  <c r="I58" s="1"/>
  <c r="J58" s="1"/>
  <c r="K58" s="1"/>
  <c r="L58" s="1"/>
  <c r="M58" s="1"/>
  <c r="N58" s="1"/>
  <c r="O58" s="1"/>
  <c r="P58" s="1"/>
  <c r="Q58" s="1"/>
  <c r="R58" s="1"/>
  <c r="S58" s="1"/>
  <c r="T58" s="1"/>
  <c r="U58" s="1"/>
  <c r="V58" s="1"/>
  <c r="W58" s="1"/>
  <c r="X58" s="1"/>
  <c r="Y58" s="1"/>
  <c r="H42"/>
  <c r="I42" s="1"/>
  <c r="J42" s="1"/>
  <c r="K42" s="1"/>
  <c r="L42" s="1"/>
  <c r="M42" s="1"/>
  <c r="N42" s="1"/>
  <c r="O42" s="1"/>
  <c r="P42" s="1"/>
  <c r="Q42" s="1"/>
  <c r="R42" s="1"/>
  <c r="S42" s="1"/>
  <c r="T42" s="1"/>
  <c r="U42" s="1"/>
  <c r="V42" s="1"/>
  <c r="W42" s="1"/>
  <c r="X42" s="1"/>
  <c r="Y42" s="1"/>
  <c r="H40"/>
  <c r="I40" s="1"/>
  <c r="J40" s="1"/>
  <c r="K40" s="1"/>
  <c r="L40" s="1"/>
  <c r="M40" s="1"/>
  <c r="N40" s="1"/>
  <c r="O40" s="1"/>
  <c r="P40" s="1"/>
  <c r="Q40" s="1"/>
  <c r="R40" s="1"/>
  <c r="S40" s="1"/>
  <c r="T40" s="1"/>
  <c r="U40" s="1"/>
  <c r="V40" s="1"/>
  <c r="W40" s="1"/>
  <c r="X40" s="1"/>
  <c r="Y40" s="1"/>
  <c r="H38"/>
  <c r="I38" s="1"/>
  <c r="J38" s="1"/>
  <c r="K38" s="1"/>
  <c r="L38" s="1"/>
  <c r="M38" s="1"/>
  <c r="N38" s="1"/>
  <c r="O38" s="1"/>
  <c r="P38" s="1"/>
  <c r="Q38" s="1"/>
  <c r="R38" s="1"/>
  <c r="S38" s="1"/>
  <c r="T38" s="1"/>
  <c r="U38" s="1"/>
  <c r="V38" s="1"/>
  <c r="W38" s="1"/>
  <c r="X38" s="1"/>
  <c r="Y38" s="1"/>
  <c r="D20" l="1"/>
  <c r="H36" l="1"/>
  <c r="I36" s="1"/>
  <c r="J36" s="1"/>
  <c r="K36" s="1"/>
  <c r="L36" s="1"/>
  <c r="M36" s="1"/>
  <c r="N36" s="1"/>
  <c r="O36" s="1"/>
  <c r="P36" s="1"/>
  <c r="Q36" s="1"/>
  <c r="R36" s="1"/>
  <c r="S36" s="1"/>
  <c r="T36" s="1"/>
  <c r="U36" s="1"/>
  <c r="V36" s="1"/>
  <c r="W36" s="1"/>
  <c r="X36" s="1"/>
  <c r="Y36" s="1"/>
  <c r="H35"/>
  <c r="I35" s="1"/>
  <c r="J35" s="1"/>
  <c r="K35" s="1"/>
  <c r="L35" s="1"/>
  <c r="M35" s="1"/>
  <c r="N35" s="1"/>
  <c r="O35" s="1"/>
  <c r="P35" s="1"/>
  <c r="Q35" s="1"/>
  <c r="R35" s="1"/>
  <c r="S35" s="1"/>
  <c r="T35" s="1"/>
  <c r="U35" s="1"/>
  <c r="V35" s="1"/>
  <c r="W35" s="1"/>
  <c r="X35" s="1"/>
  <c r="Y35" s="1"/>
  <c r="H24"/>
  <c r="I24" s="1"/>
  <c r="J24" s="1"/>
  <c r="K24" s="1"/>
  <c r="L24" s="1"/>
  <c r="M24" s="1"/>
  <c r="N24" s="1"/>
  <c r="O24" s="1"/>
  <c r="P24" s="1"/>
  <c r="Q24" s="1"/>
  <c r="R24" s="1"/>
  <c r="S24" s="1"/>
  <c r="T24" s="1"/>
  <c r="U24" s="1"/>
  <c r="V24" s="1"/>
  <c r="W24" s="1"/>
  <c r="X24" s="1"/>
  <c r="Y24" s="1"/>
  <c r="H23"/>
  <c r="I23" s="1"/>
  <c r="J23" s="1"/>
  <c r="K23" s="1"/>
  <c r="L23" s="1"/>
  <c r="M23" s="1"/>
  <c r="N23" s="1"/>
  <c r="O23" s="1"/>
  <c r="P23" s="1"/>
  <c r="Q23" s="1"/>
  <c r="R23" s="1"/>
  <c r="S23" s="1"/>
  <c r="T23" s="1"/>
  <c r="U23" s="1"/>
  <c r="V23" s="1"/>
  <c r="W23" s="1"/>
  <c r="X23" s="1"/>
  <c r="Y23" s="1"/>
  <c r="Y117" l="1"/>
  <c r="X117"/>
  <c r="W117"/>
  <c r="V117"/>
  <c r="U117"/>
  <c r="T117"/>
  <c r="S117"/>
  <c r="R117"/>
  <c r="Q117"/>
  <c r="P117"/>
  <c r="O117"/>
  <c r="N117"/>
  <c r="M117"/>
  <c r="L117"/>
  <c r="K117"/>
  <c r="J117"/>
  <c r="I117"/>
  <c r="H117"/>
  <c r="G117"/>
  <c r="C3"/>
  <c r="Y55"/>
  <c r="X55"/>
  <c r="W55"/>
  <c r="V55"/>
  <c r="U55"/>
  <c r="T55"/>
  <c r="S55"/>
  <c r="R55"/>
  <c r="Q55"/>
  <c r="P55"/>
  <c r="O55"/>
  <c r="N55"/>
  <c r="M55"/>
  <c r="L55"/>
  <c r="K55"/>
  <c r="J55"/>
  <c r="I55"/>
  <c r="H55"/>
  <c r="G55"/>
  <c r="T34" i="24" l="1"/>
  <c r="K20" i="22" l="1"/>
  <c r="M60" l="1"/>
  <c r="D4" i="21" l="1"/>
  <c r="D11" i="22" l="1"/>
  <c r="S34" i="24" l="1"/>
  <c r="R34"/>
  <c r="Q34"/>
  <c r="P34"/>
  <c r="O34"/>
  <c r="N34"/>
  <c r="M34"/>
  <c r="L34"/>
  <c r="K34"/>
  <c r="J34"/>
  <c r="I34"/>
  <c r="B3" i="21"/>
  <c r="D6"/>
  <c r="E6" s="1"/>
  <c r="U82" i="24" l="1"/>
  <c r="S12" i="41" l="1"/>
  <c r="R12" s="1"/>
  <c r="S9"/>
  <c r="S8"/>
  <c r="O36"/>
  <c r="O35"/>
  <c r="O34"/>
  <c r="O33"/>
  <c r="O29"/>
  <c r="O28"/>
  <c r="O21"/>
  <c r="O20"/>
  <c r="O19"/>
  <c r="O17"/>
  <c r="O16"/>
  <c r="O13"/>
  <c r="O12"/>
  <c r="O9"/>
  <c r="O8"/>
  <c r="O7"/>
  <c r="O6"/>
  <c r="N34"/>
  <c r="N33"/>
  <c r="N29"/>
  <c r="N21"/>
  <c r="N20"/>
  <c r="N19"/>
  <c r="N17"/>
  <c r="N16"/>
  <c r="N13"/>
  <c r="N12"/>
  <c r="N7"/>
  <c r="N6"/>
  <c r="P12" l="1"/>
  <c r="P7"/>
  <c r="P6"/>
  <c r="P16"/>
  <c r="P34"/>
  <c r="R9"/>
  <c r="R8"/>
  <c r="Q12" l="1"/>
  <c r="T30" i="24"/>
  <c r="S30"/>
  <c r="R30"/>
  <c r="Q30"/>
  <c r="P30"/>
  <c r="O30"/>
  <c r="N30"/>
  <c r="M30"/>
  <c r="L30"/>
  <c r="J30"/>
  <c r="I30"/>
  <c r="W57"/>
  <c r="W54"/>
  <c r="W53"/>
  <c r="W52"/>
  <c r="W51"/>
  <c r="W50"/>
  <c r="W49"/>
  <c r="W48"/>
  <c r="W47"/>
  <c r="W46"/>
  <c r="W45"/>
  <c r="W44"/>
  <c r="W43"/>
  <c r="W42"/>
  <c r="W41"/>
  <c r="W40"/>
  <c r="W39"/>
  <c r="W38"/>
  <c r="W37"/>
  <c r="I39"/>
  <c r="J39"/>
  <c r="I41"/>
  <c r="J41"/>
  <c r="I42"/>
  <c r="J42"/>
  <c r="I44"/>
  <c r="J44"/>
  <c r="I45"/>
  <c r="J45"/>
  <c r="I50"/>
  <c r="J50"/>
  <c r="I51"/>
  <c r="J51"/>
  <c r="I52"/>
  <c r="J52"/>
  <c r="W12"/>
  <c r="W13"/>
  <c r="W14"/>
  <c r="W15"/>
  <c r="W16"/>
  <c r="W18"/>
  <c r="W19"/>
  <c r="W20"/>
  <c r="W21"/>
  <c r="W22"/>
  <c r="W23"/>
  <c r="W24"/>
  <c r="W25"/>
  <c r="W26"/>
  <c r="W27"/>
  <c r="W28"/>
  <c r="W29"/>
  <c r="W30"/>
  <c r="W31"/>
  <c r="W11"/>
  <c r="W32"/>
  <c r="W17"/>
  <c r="M126" i="22"/>
  <c r="L126"/>
  <c r="K126"/>
  <c r="J126"/>
  <c r="I126"/>
  <c r="H126"/>
  <c r="M133"/>
  <c r="L133"/>
  <c r="K133"/>
  <c r="J133"/>
  <c r="I133"/>
  <c r="H133"/>
  <c r="W55" i="24" l="1"/>
  <c r="W35"/>
  <c r="W36" l="1"/>
  <c r="W56" l="1"/>
  <c r="N28" i="41" l="1"/>
  <c r="H20" i="22" l="1"/>
  <c r="I20"/>
  <c r="J20"/>
  <c r="H28"/>
  <c r="I28"/>
  <c r="J28"/>
  <c r="H34"/>
  <c r="I34"/>
  <c r="J34"/>
  <c r="H37"/>
  <c r="I37"/>
  <c r="J37"/>
  <c r="H57"/>
  <c r="H56" s="1"/>
  <c r="I57"/>
  <c r="I56" s="1"/>
  <c r="J57"/>
  <c r="J56" s="1"/>
  <c r="H70"/>
  <c r="I70"/>
  <c r="J70"/>
  <c r="H74"/>
  <c r="I74"/>
  <c r="J74"/>
  <c r="H86"/>
  <c r="I86"/>
  <c r="J86"/>
  <c r="H90"/>
  <c r="I90"/>
  <c r="J90"/>
  <c r="H96"/>
  <c r="I96"/>
  <c r="J96"/>
  <c r="H69" l="1"/>
  <c r="H27"/>
  <c r="I27"/>
  <c r="J27"/>
  <c r="J69"/>
  <c r="I84"/>
  <c r="J84"/>
  <c r="I69"/>
  <c r="H84"/>
  <c r="H101" s="1"/>
  <c r="I101" l="1"/>
  <c r="J101"/>
  <c r="H127" l="1"/>
  <c r="I127"/>
  <c r="J127" l="1"/>
  <c r="J124"/>
  <c r="H128"/>
  <c r="H18" s="1"/>
  <c r="H125"/>
  <c r="I128"/>
  <c r="I125"/>
  <c r="J128"/>
  <c r="J125"/>
  <c r="J129"/>
  <c r="H124"/>
  <c r="H129"/>
  <c r="I124"/>
  <c r="I129"/>
  <c r="I134"/>
  <c r="H134"/>
  <c r="H17" s="1"/>
  <c r="J120"/>
  <c r="J123"/>
  <c r="H123"/>
  <c r="H120"/>
  <c r="H15" s="1"/>
  <c r="I120"/>
  <c r="I123"/>
  <c r="H131" l="1"/>
  <c r="H13" s="1"/>
  <c r="J134"/>
  <c r="I15"/>
  <c r="J15" s="1"/>
  <c r="I18"/>
  <c r="J18" s="1"/>
  <c r="I17"/>
  <c r="H132"/>
  <c r="H14" s="1"/>
  <c r="J136"/>
  <c r="I132"/>
  <c r="J132"/>
  <c r="J131"/>
  <c r="H136"/>
  <c r="H19" s="1"/>
  <c r="I136"/>
  <c r="I131"/>
  <c r="I14" l="1"/>
  <c r="J14" s="1"/>
  <c r="I19"/>
  <c r="J19" s="1"/>
  <c r="H16"/>
  <c r="J17"/>
  <c r="I13"/>
  <c r="J13" s="1"/>
  <c r="H11"/>
  <c r="J16" l="1"/>
  <c r="I16"/>
  <c r="H10"/>
  <c r="H45" s="1"/>
  <c r="S26" i="41"/>
  <c r="R26" s="1"/>
  <c r="M68" i="22" l="1"/>
  <c r="N9" i="41" s="1"/>
  <c r="P9" s="1"/>
  <c r="Q9" s="1"/>
  <c r="I31" i="24" l="1"/>
  <c r="J31"/>
  <c r="K31"/>
  <c r="L31"/>
  <c r="M31"/>
  <c r="N31"/>
  <c r="O31"/>
  <c r="P31"/>
  <c r="Q31"/>
  <c r="I32"/>
  <c r="J32"/>
  <c r="K32"/>
  <c r="L32"/>
  <c r="M32"/>
  <c r="N32"/>
  <c r="O32"/>
  <c r="P32"/>
  <c r="Q32"/>
  <c r="C10" i="36" l="1"/>
  <c r="B10"/>
  <c r="A7" i="28"/>
  <c r="B43" i="36"/>
  <c r="C9" i="22" l="1"/>
  <c r="B9"/>
  <c r="D9" s="1"/>
  <c r="E9" s="1"/>
  <c r="N9" i="30"/>
  <c r="O9" s="1"/>
  <c r="P9" s="1"/>
  <c r="Q9" s="1"/>
  <c r="B46" i="36"/>
  <c r="B62" i="29"/>
  <c r="B63"/>
  <c r="A8" i="31"/>
  <c r="C46" i="36"/>
  <c r="C4" i="27"/>
  <c r="I9" i="30" l="1"/>
  <c r="J9" s="1"/>
  <c r="K9" s="1"/>
  <c r="L9" s="1"/>
  <c r="H8"/>
  <c r="H69" s="1"/>
  <c r="N8"/>
  <c r="N69" s="1"/>
  <c r="A7" i="29"/>
  <c r="A9" i="31"/>
  <c r="C10" i="34"/>
  <c r="E10"/>
  <c r="I10"/>
  <c r="D34" i="22"/>
  <c r="D37"/>
  <c r="D28"/>
  <c r="D16"/>
  <c r="D27" l="1"/>
  <c r="D10"/>
  <c r="D45" l="1"/>
  <c r="AH98"/>
  <c r="AH97"/>
  <c r="AH78"/>
  <c r="AH58"/>
  <c r="AH38"/>
  <c r="AH36"/>
  <c r="AH24"/>
  <c r="AH23"/>
  <c r="X57" l="1"/>
  <c r="X56" s="1"/>
  <c r="W57"/>
  <c r="W56" s="1"/>
  <c r="V57"/>
  <c r="V56" s="1"/>
  <c r="U57"/>
  <c r="U56" s="1"/>
  <c r="T57"/>
  <c r="T56" s="1"/>
  <c r="S57"/>
  <c r="S56" s="1"/>
  <c r="R57"/>
  <c r="R56" s="1"/>
  <c r="Q57"/>
  <c r="Q56" s="1"/>
  <c r="O57"/>
  <c r="O56" s="1"/>
  <c r="N57"/>
  <c r="N56" s="1"/>
  <c r="L57"/>
  <c r="L56" s="1"/>
  <c r="K57"/>
  <c r="K56" s="1"/>
  <c r="X37"/>
  <c r="W37"/>
  <c r="V37"/>
  <c r="U37"/>
  <c r="T37"/>
  <c r="S37"/>
  <c r="R37"/>
  <c r="Q37"/>
  <c r="P37"/>
  <c r="O37"/>
  <c r="N37"/>
  <c r="L37"/>
  <c r="K37"/>
  <c r="M34"/>
  <c r="N31" i="41" s="1"/>
  <c r="L34" i="22"/>
  <c r="K34"/>
  <c r="Y28"/>
  <c r="X28"/>
  <c r="W28"/>
  <c r="V28"/>
  <c r="U28"/>
  <c r="T28"/>
  <c r="S28"/>
  <c r="R28"/>
  <c r="Q28"/>
  <c r="P28"/>
  <c r="O28"/>
  <c r="N28"/>
  <c r="M28"/>
  <c r="L28"/>
  <c r="K28"/>
  <c r="Y20"/>
  <c r="X20"/>
  <c r="W20"/>
  <c r="V20"/>
  <c r="U20"/>
  <c r="T20"/>
  <c r="S20"/>
  <c r="R20"/>
  <c r="Q20"/>
  <c r="P20"/>
  <c r="O20"/>
  <c r="N20"/>
  <c r="M20"/>
  <c r="L20"/>
  <c r="Y96"/>
  <c r="X96"/>
  <c r="W96"/>
  <c r="V96"/>
  <c r="U96"/>
  <c r="T96"/>
  <c r="S96"/>
  <c r="R96"/>
  <c r="Q96"/>
  <c r="P96"/>
  <c r="O96"/>
  <c r="N96"/>
  <c r="M96"/>
  <c r="N18" i="41" s="1"/>
  <c r="L96" i="22"/>
  <c r="K96"/>
  <c r="G96"/>
  <c r="O18" i="41" s="1"/>
  <c r="AH76" i="22"/>
  <c r="AH92"/>
  <c r="L27" l="1"/>
  <c r="AH96"/>
  <c r="K27"/>
  <c r="AH68" l="1"/>
  <c r="AH94" l="1"/>
  <c r="T50" i="24" l="1"/>
  <c r="S50"/>
  <c r="R50"/>
  <c r="Q50"/>
  <c r="P50"/>
  <c r="O50"/>
  <c r="N50"/>
  <c r="M50"/>
  <c r="L50"/>
  <c r="K50"/>
  <c r="T45" l="1"/>
  <c r="R45"/>
  <c r="Q45"/>
  <c r="P45"/>
  <c r="O45"/>
  <c r="N45"/>
  <c r="M45"/>
  <c r="L45"/>
  <c r="K45"/>
  <c r="S42"/>
  <c r="Q42"/>
  <c r="O42"/>
  <c r="N42"/>
  <c r="L42"/>
  <c r="K42"/>
  <c r="S31"/>
  <c r="R31"/>
  <c r="K30"/>
  <c r="S32"/>
  <c r="R32"/>
  <c r="I22"/>
  <c r="J96"/>
  <c r="M96" s="1"/>
  <c r="K96" l="1"/>
  <c r="H12" i="41"/>
  <c r="AH40" i="22"/>
  <c r="H86" i="24"/>
  <c r="F94"/>
  <c r="AH62"/>
  <c r="AH60"/>
  <c r="AG62"/>
  <c r="AF62"/>
  <c r="AE62"/>
  <c r="AD62"/>
  <c r="AC62"/>
  <c r="AB62"/>
  <c r="AA62"/>
  <c r="Z62"/>
  <c r="AG60"/>
  <c r="AF60"/>
  <c r="AE60"/>
  <c r="AD60"/>
  <c r="AC60"/>
  <c r="AB60"/>
  <c r="AA60"/>
  <c r="Z60"/>
  <c r="AH59"/>
  <c r="K20" s="1"/>
  <c r="AG59"/>
  <c r="AF59"/>
  <c r="AE59"/>
  <c r="AD59"/>
  <c r="AC59"/>
  <c r="AA59"/>
  <c r="Z59"/>
  <c r="Y59"/>
  <c r="AB59"/>
  <c r="J92"/>
  <c r="M92" s="1"/>
  <c r="K89"/>
  <c r="J90"/>
  <c r="M90" s="1"/>
  <c r="J91"/>
  <c r="K91" s="1"/>
  <c r="Q20" l="1"/>
  <c r="K92"/>
  <c r="T20" s="1"/>
  <c r="I21"/>
  <c r="H94" s="1"/>
  <c r="K90"/>
  <c r="N20" s="1"/>
  <c r="M91"/>
  <c r="S86"/>
  <c r="T86"/>
  <c r="T19" s="1"/>
  <c r="R86"/>
  <c r="Q86"/>
  <c r="Q19" s="1"/>
  <c r="R21" s="1"/>
  <c r="Q94" s="1"/>
  <c r="P86"/>
  <c r="O86"/>
  <c r="N86"/>
  <c r="M86"/>
  <c r="L86"/>
  <c r="K86"/>
  <c r="K19" s="1"/>
  <c r="L21" s="1"/>
  <c r="K94" s="1"/>
  <c r="J86"/>
  <c r="I86"/>
  <c r="O19" l="1"/>
  <c r="P21" s="1"/>
  <c r="O94" s="1"/>
  <c r="I19"/>
  <c r="M19"/>
  <c r="N21" s="1"/>
  <c r="J19"/>
  <c r="K21" s="1"/>
  <c r="N19"/>
  <c r="O21" s="1"/>
  <c r="R19"/>
  <c r="S21" s="1"/>
  <c r="L19"/>
  <c r="M21" s="1"/>
  <c r="P19"/>
  <c r="Q21" s="1"/>
  <c r="S19"/>
  <c r="T21" s="1"/>
  <c r="T15"/>
  <c r="S15"/>
  <c r="R15"/>
  <c r="Q15"/>
  <c r="P15"/>
  <c r="O15"/>
  <c r="N15"/>
  <c r="M15"/>
  <c r="L15"/>
  <c r="K15"/>
  <c r="J15"/>
  <c r="I15"/>
  <c r="T14"/>
  <c r="S14"/>
  <c r="R14"/>
  <c r="Q14"/>
  <c r="P14"/>
  <c r="O14"/>
  <c r="N14"/>
  <c r="M14"/>
  <c r="L14"/>
  <c r="K14"/>
  <c r="J14"/>
  <c r="I14"/>
  <c r="T13"/>
  <c r="S13"/>
  <c r="R13"/>
  <c r="Q13"/>
  <c r="P13"/>
  <c r="O13"/>
  <c r="N13"/>
  <c r="M13"/>
  <c r="L13"/>
  <c r="K13"/>
  <c r="J13"/>
  <c r="I13"/>
  <c r="J21" l="1"/>
  <c r="I94" s="1"/>
  <c r="L94"/>
  <c r="S94"/>
  <c r="N94"/>
  <c r="M94"/>
  <c r="P94"/>
  <c r="R94"/>
  <c r="J94"/>
  <c r="T79"/>
  <c r="T12" s="1"/>
  <c r="S79"/>
  <c r="S12" s="1"/>
  <c r="R79"/>
  <c r="R12" s="1"/>
  <c r="Q79"/>
  <c r="Q12" s="1"/>
  <c r="P79"/>
  <c r="P12" s="1"/>
  <c r="O79"/>
  <c r="O12" s="1"/>
  <c r="N79"/>
  <c r="N12" s="1"/>
  <c r="M79"/>
  <c r="M12" s="1"/>
  <c r="L79"/>
  <c r="L12" s="1"/>
  <c r="K79"/>
  <c r="K12" s="1"/>
  <c r="J79"/>
  <c r="J12" s="1"/>
  <c r="I79"/>
  <c r="I12" s="1"/>
  <c r="T8" l="1"/>
  <c r="S8"/>
  <c r="R8"/>
  <c r="Q8"/>
  <c r="P8"/>
  <c r="O8"/>
  <c r="N8"/>
  <c r="M8"/>
  <c r="L8"/>
  <c r="K8"/>
  <c r="J8"/>
  <c r="I8"/>
  <c r="T7"/>
  <c r="S7"/>
  <c r="R7"/>
  <c r="Q7"/>
  <c r="P7"/>
  <c r="O7"/>
  <c r="N7"/>
  <c r="M7"/>
  <c r="L7"/>
  <c r="K7"/>
  <c r="J7"/>
  <c r="I7"/>
  <c r="G94" l="1"/>
  <c r="C49" i="22" l="1"/>
  <c r="AH35" l="1"/>
  <c r="G37"/>
  <c r="O32" i="41" s="1"/>
  <c r="A50" i="22" l="1"/>
  <c r="E55"/>
  <c r="D55"/>
  <c r="C55"/>
  <c r="B55"/>
  <c r="AH99" l="1"/>
  <c r="L127" l="1"/>
  <c r="M127"/>
  <c r="K127"/>
  <c r="M124"/>
  <c r="M129"/>
  <c r="K124"/>
  <c r="L128"/>
  <c r="L125"/>
  <c r="K128"/>
  <c r="K18" s="1"/>
  <c r="K125"/>
  <c r="K129"/>
  <c r="M128"/>
  <c r="M125"/>
  <c r="L124"/>
  <c r="L129"/>
  <c r="M134"/>
  <c r="M123"/>
  <c r="L123"/>
  <c r="M120"/>
  <c r="K123"/>
  <c r="K120"/>
  <c r="K15" s="1"/>
  <c r="X120"/>
  <c r="T120"/>
  <c r="P120"/>
  <c r="Q120"/>
  <c r="S120"/>
  <c r="Y120"/>
  <c r="U120"/>
  <c r="N120"/>
  <c r="W120"/>
  <c r="O120"/>
  <c r="V120"/>
  <c r="R120"/>
  <c r="X123"/>
  <c r="T123"/>
  <c r="P123"/>
  <c r="S123"/>
  <c r="Y123"/>
  <c r="U123"/>
  <c r="Q123"/>
  <c r="W123"/>
  <c r="V123"/>
  <c r="R123"/>
  <c r="N123"/>
  <c r="O123"/>
  <c r="L120"/>
  <c r="M138" l="1"/>
  <c r="L18"/>
  <c r="K134"/>
  <c r="K17" s="1"/>
  <c r="L134"/>
  <c r="L15"/>
  <c r="M132"/>
  <c r="K131"/>
  <c r="K13" s="1"/>
  <c r="L131"/>
  <c r="L132"/>
  <c r="K132"/>
  <c r="K14" s="1"/>
  <c r="L136"/>
  <c r="M131"/>
  <c r="K136"/>
  <c r="K19" s="1"/>
  <c r="M136"/>
  <c r="L17" l="1"/>
  <c r="L14"/>
  <c r="L13"/>
  <c r="L19"/>
  <c r="K16"/>
  <c r="M139"/>
  <c r="L16" l="1"/>
  <c r="S45" i="24" l="1"/>
  <c r="T42" l="1"/>
  <c r="J6" l="1"/>
  <c r="J9" s="1"/>
  <c r="O6"/>
  <c r="O9" s="1"/>
  <c r="M6"/>
  <c r="M9" s="1"/>
  <c r="R6"/>
  <c r="R9" s="1"/>
  <c r="N6"/>
  <c r="N9" s="1"/>
  <c r="S6"/>
  <c r="S9" s="1"/>
  <c r="Q6"/>
  <c r="Q9" s="1"/>
  <c r="L6"/>
  <c r="L9" s="1"/>
  <c r="K6"/>
  <c r="K9" s="1"/>
  <c r="P6"/>
  <c r="P9" s="1"/>
  <c r="T6"/>
  <c r="T9" s="1"/>
  <c r="I6"/>
  <c r="I9" s="1"/>
  <c r="AA5" i="41" l="1"/>
  <c r="V19" i="24" l="1"/>
  <c r="Z5" i="41" l="1"/>
  <c r="AB5" s="1"/>
  <c r="V8"/>
  <c r="R42" i="24" l="1"/>
  <c r="R70" i="30" l="1"/>
  <c r="Q70"/>
  <c r="P70"/>
  <c r="O70"/>
  <c r="N70"/>
  <c r="M70"/>
  <c r="L70"/>
  <c r="K70"/>
  <c r="J70"/>
  <c r="I70"/>
  <c r="A12"/>
  <c r="J13" i="34"/>
  <c r="I13"/>
  <c r="H13"/>
  <c r="G13"/>
  <c r="F13"/>
  <c r="E13"/>
  <c r="D13"/>
  <c r="C13"/>
  <c r="A46" i="30" l="1"/>
  <c r="A45"/>
  <c r="A43"/>
  <c r="A32"/>
  <c r="A17"/>
  <c r="A44"/>
  <c r="A35"/>
  <c r="A23"/>
  <c r="A13"/>
  <c r="A36"/>
  <c r="A27"/>
  <c r="A11"/>
  <c r="A40"/>
  <c r="A31"/>
  <c r="A16"/>
  <c r="A39"/>
  <c r="A28"/>
  <c r="A24"/>
  <c r="A20"/>
  <c r="A14"/>
  <c r="A54"/>
  <c r="A41"/>
  <c r="A37"/>
  <c r="A33"/>
  <c r="A29"/>
  <c r="A25"/>
  <c r="A21"/>
  <c r="A18"/>
  <c r="A15"/>
  <c r="A55"/>
  <c r="A42"/>
  <c r="A38"/>
  <c r="A34"/>
  <c r="A30"/>
  <c r="A26"/>
  <c r="A22"/>
  <c r="A19"/>
  <c r="D4" i="39" l="1"/>
  <c r="D96" i="22" l="1"/>
  <c r="D90"/>
  <c r="D86"/>
  <c r="D74"/>
  <c r="D70"/>
  <c r="D57"/>
  <c r="D56" s="1"/>
  <c r="B98"/>
  <c r="C20" i="41" s="1"/>
  <c r="C98" i="22"/>
  <c r="D20" i="41" s="1"/>
  <c r="D69" i="22" l="1"/>
  <c r="D84"/>
  <c r="D101" l="1"/>
  <c r="D47" s="1"/>
  <c r="D102" l="1"/>
  <c r="C159"/>
  <c r="AC100" l="1"/>
  <c r="AC99"/>
  <c r="AC98"/>
  <c r="AC97"/>
  <c r="AC95"/>
  <c r="AC94"/>
  <c r="AC93"/>
  <c r="AC92"/>
  <c r="AC91"/>
  <c r="AC89"/>
  <c r="AC88"/>
  <c r="AC87"/>
  <c r="AC85"/>
  <c r="AC83"/>
  <c r="AC82"/>
  <c r="AC81"/>
  <c r="AC80"/>
  <c r="AC79"/>
  <c r="AC78"/>
  <c r="AC77"/>
  <c r="AC76"/>
  <c r="AC75"/>
  <c r="AC73"/>
  <c r="AC72"/>
  <c r="AC71"/>
  <c r="AC68"/>
  <c r="AC67"/>
  <c r="AC66"/>
  <c r="AC65"/>
  <c r="AC64"/>
  <c r="AC63"/>
  <c r="AC62"/>
  <c r="AC61"/>
  <c r="AC60"/>
  <c r="AC59"/>
  <c r="AC58"/>
  <c r="AC44"/>
  <c r="AC43"/>
  <c r="AC42"/>
  <c r="AC41"/>
  <c r="AC40"/>
  <c r="AC39"/>
  <c r="AC38"/>
  <c r="AC36"/>
  <c r="AC35"/>
  <c r="AC33"/>
  <c r="AC32"/>
  <c r="AC31"/>
  <c r="AC30"/>
  <c r="AC29"/>
  <c r="AC26"/>
  <c r="AC25"/>
  <c r="AC24"/>
  <c r="AC23"/>
  <c r="AC22"/>
  <c r="AC21"/>
  <c r="AC19"/>
  <c r="AC17"/>
  <c r="AC15"/>
  <c r="AC14"/>
  <c r="AC13"/>
  <c r="AC12"/>
  <c r="N35" i="41"/>
  <c r="K39" i="24"/>
  <c r="L39"/>
  <c r="M39"/>
  <c r="O39"/>
  <c r="P39"/>
  <c r="Q39"/>
  <c r="S39"/>
  <c r="T39"/>
  <c r="K41"/>
  <c r="L41"/>
  <c r="N41"/>
  <c r="O41"/>
  <c r="Q41"/>
  <c r="R41"/>
  <c r="T41"/>
  <c r="K44"/>
  <c r="L44"/>
  <c r="N44"/>
  <c r="O44"/>
  <c r="P44"/>
  <c r="Q44"/>
  <c r="R44"/>
  <c r="S44"/>
  <c r="T44"/>
  <c r="K51"/>
  <c r="M51"/>
  <c r="N51"/>
  <c r="O51"/>
  <c r="P51"/>
  <c r="R51"/>
  <c r="S51"/>
  <c r="T51"/>
  <c r="K52"/>
  <c r="M52"/>
  <c r="O52"/>
  <c r="P52"/>
  <c r="R52"/>
  <c r="S52"/>
  <c r="T52"/>
  <c r="T40"/>
  <c r="S40"/>
  <c r="R40"/>
  <c r="Q40"/>
  <c r="O40"/>
  <c r="M40"/>
  <c r="L40"/>
  <c r="K40"/>
  <c r="J40"/>
  <c r="I40"/>
  <c r="M48"/>
  <c r="L48"/>
  <c r="K48"/>
  <c r="J48"/>
  <c r="I48"/>
  <c r="J38"/>
  <c r="I38"/>
  <c r="N40" l="1"/>
  <c r="T38"/>
  <c r="J55"/>
  <c r="I55"/>
  <c r="P38"/>
  <c r="M38"/>
  <c r="K38"/>
  <c r="K55" s="1"/>
  <c r="Q38"/>
  <c r="L38"/>
  <c r="K57" l="1"/>
  <c r="H58"/>
  <c r="AC18" i="22" l="1"/>
  <c r="AH62"/>
  <c r="M44" i="24" l="1"/>
  <c r="P42" i="19"/>
  <c r="R39" i="24" l="1"/>
  <c r="N39"/>
  <c r="Q51"/>
  <c r="L51"/>
  <c r="M37" i="22"/>
  <c r="R48" i="24"/>
  <c r="N48"/>
  <c r="AH37" i="22" l="1"/>
  <c r="N32" i="41"/>
  <c r="G61" i="24"/>
  <c r="G62" s="1"/>
  <c r="S48"/>
  <c r="O48"/>
  <c r="P48"/>
  <c r="T48"/>
  <c r="T55" s="1"/>
  <c r="Q48"/>
  <c r="S38"/>
  <c r="BH12" i="5"/>
  <c r="T57" i="24" l="1"/>
  <c r="Z6" i="41"/>
  <c r="T58" i="24"/>
  <c r="CF31" i="5"/>
  <c r="CE31"/>
  <c r="CD31"/>
  <c r="Y37" i="22" l="1"/>
  <c r="H34" i="41"/>
  <c r="L52" i="24"/>
  <c r="L55" s="1"/>
  <c r="Q52"/>
  <c r="Q55" s="1"/>
  <c r="O38"/>
  <c r="N52"/>
  <c r="P40"/>
  <c r="H9" i="41" s="1"/>
  <c r="N38" i="24"/>
  <c r="R38"/>
  <c r="R55" s="1"/>
  <c r="CJ31" i="5"/>
  <c r="CK31"/>
  <c r="CL31"/>
  <c r="CM31"/>
  <c r="Q57" i="24" l="1"/>
  <c r="R57"/>
  <c r="L57"/>
  <c r="CN31" i="5"/>
  <c r="O55" i="24"/>
  <c r="N55"/>
  <c r="Y34" i="22"/>
  <c r="M18"/>
  <c r="M17"/>
  <c r="M13"/>
  <c r="AH13" s="1"/>
  <c r="X74"/>
  <c r="W74"/>
  <c r="V74"/>
  <c r="U74"/>
  <c r="T74"/>
  <c r="S74"/>
  <c r="R74"/>
  <c r="Q74"/>
  <c r="P74"/>
  <c r="O74"/>
  <c r="N74"/>
  <c r="M74"/>
  <c r="N11" i="41" s="1"/>
  <c r="L74" i="22"/>
  <c r="K74"/>
  <c r="G74"/>
  <c r="G11"/>
  <c r="X90"/>
  <c r="W90"/>
  <c r="V90"/>
  <c r="U90"/>
  <c r="T90"/>
  <c r="S90"/>
  <c r="R90"/>
  <c r="Q90"/>
  <c r="P90"/>
  <c r="O90"/>
  <c r="N90"/>
  <c r="M90"/>
  <c r="N15" i="41" s="1"/>
  <c r="L90" i="22"/>
  <c r="K90"/>
  <c r="Y86"/>
  <c r="X86"/>
  <c r="W86"/>
  <c r="V86"/>
  <c r="U86"/>
  <c r="T86"/>
  <c r="S86"/>
  <c r="R86"/>
  <c r="Q86"/>
  <c r="P86"/>
  <c r="O86"/>
  <c r="N86"/>
  <c r="M86"/>
  <c r="L86"/>
  <c r="K86"/>
  <c r="Y70"/>
  <c r="X70"/>
  <c r="W70"/>
  <c r="V70"/>
  <c r="U70"/>
  <c r="T70"/>
  <c r="S70"/>
  <c r="R70"/>
  <c r="Q70"/>
  <c r="P70"/>
  <c r="O70"/>
  <c r="N70"/>
  <c r="M70"/>
  <c r="L70"/>
  <c r="K70"/>
  <c r="AC37"/>
  <c r="G34"/>
  <c r="O31" i="41" s="1"/>
  <c r="G28" i="22"/>
  <c r="AC28" s="1"/>
  <c r="G20"/>
  <c r="AC20" s="1"/>
  <c r="G16"/>
  <c r="AC96"/>
  <c r="G57"/>
  <c r="N69" l="1"/>
  <c r="N101" s="1"/>
  <c r="O57" i="24"/>
  <c r="N84" i="22"/>
  <c r="AC74"/>
  <c r="O11" i="41"/>
  <c r="R69" i="22"/>
  <c r="AC57"/>
  <c r="O5" i="41"/>
  <c r="V69" i="22"/>
  <c r="AC11"/>
  <c r="O26" i="41"/>
  <c r="AC16" i="22"/>
  <c r="O27" i="41"/>
  <c r="Q69" i="22"/>
  <c r="U69"/>
  <c r="M69"/>
  <c r="N10" i="41" s="1"/>
  <c r="N57" i="24"/>
  <c r="R84" i="22"/>
  <c r="V84"/>
  <c r="AH74"/>
  <c r="AH17"/>
  <c r="L84"/>
  <c r="P84"/>
  <c r="T84"/>
  <c r="X84"/>
  <c r="AC34"/>
  <c r="AH34"/>
  <c r="L69"/>
  <c r="P69"/>
  <c r="T69"/>
  <c r="X69"/>
  <c r="M84"/>
  <c r="N14" i="41" s="1"/>
  <c r="Q84" i="22"/>
  <c r="U84"/>
  <c r="K69"/>
  <c r="O69"/>
  <c r="S69"/>
  <c r="W69"/>
  <c r="K84"/>
  <c r="O84"/>
  <c r="S84"/>
  <c r="W84"/>
  <c r="K11"/>
  <c r="S132"/>
  <c r="Y128"/>
  <c r="P132"/>
  <c r="T132"/>
  <c r="X132"/>
  <c r="P133"/>
  <c r="T133"/>
  <c r="X133"/>
  <c r="P135"/>
  <c r="T135"/>
  <c r="X135"/>
  <c r="P125"/>
  <c r="T125"/>
  <c r="X125"/>
  <c r="P128"/>
  <c r="T128"/>
  <c r="X128"/>
  <c r="O132"/>
  <c r="W132"/>
  <c r="O133"/>
  <c r="S133"/>
  <c r="W133"/>
  <c r="O135"/>
  <c r="S135"/>
  <c r="W135"/>
  <c r="O125"/>
  <c r="S125"/>
  <c r="W125"/>
  <c r="O128"/>
  <c r="S128"/>
  <c r="W128"/>
  <c r="N132"/>
  <c r="R132"/>
  <c r="V132"/>
  <c r="N133"/>
  <c r="R133"/>
  <c r="V133"/>
  <c r="N135"/>
  <c r="R135"/>
  <c r="V135"/>
  <c r="N125"/>
  <c r="R125"/>
  <c r="V125"/>
  <c r="N128"/>
  <c r="R128"/>
  <c r="V128"/>
  <c r="Q132"/>
  <c r="U132"/>
  <c r="Q133"/>
  <c r="U133"/>
  <c r="Y133"/>
  <c r="Q135"/>
  <c r="U135"/>
  <c r="Y135"/>
  <c r="Q125"/>
  <c r="U125"/>
  <c r="Y125"/>
  <c r="Q128"/>
  <c r="U128"/>
  <c r="N34"/>
  <c r="N27" s="1"/>
  <c r="AH18"/>
  <c r="G56"/>
  <c r="O4" i="41" s="1"/>
  <c r="G27" i="22"/>
  <c r="G10"/>
  <c r="R101" l="1"/>
  <c r="V101"/>
  <c r="U101"/>
  <c r="L101"/>
  <c r="AC10"/>
  <c r="O25" i="41"/>
  <c r="AC27" i="22"/>
  <c r="O30" i="41"/>
  <c r="O101" i="22"/>
  <c r="Q101"/>
  <c r="T101"/>
  <c r="S101"/>
  <c r="X101"/>
  <c r="W101"/>
  <c r="K101"/>
  <c r="AC56"/>
  <c r="M19"/>
  <c r="M15"/>
  <c r="AH15" s="1"/>
  <c r="L11"/>
  <c r="K10"/>
  <c r="K45" s="1"/>
  <c r="O34"/>
  <c r="O27" s="1"/>
  <c r="N18"/>
  <c r="G45"/>
  <c r="O37" i="41" s="1"/>
  <c r="M16" i="22" l="1"/>
  <c r="AH19"/>
  <c r="L10"/>
  <c r="L45" s="1"/>
  <c r="AC45"/>
  <c r="P34"/>
  <c r="P27" s="1"/>
  <c r="O18"/>
  <c r="G90"/>
  <c r="O15" i="41" s="1"/>
  <c r="G86" i="22"/>
  <c r="AC86" s="1"/>
  <c r="AH16" l="1"/>
  <c r="N27" i="41"/>
  <c r="P27" s="1"/>
  <c r="AC90" i="22"/>
  <c r="AH90"/>
  <c r="Q34"/>
  <c r="Q27" s="1"/>
  <c r="P18"/>
  <c r="G70"/>
  <c r="G84"/>
  <c r="O14" i="41" s="1"/>
  <c r="AC84" i="22" l="1"/>
  <c r="AH84"/>
  <c r="G69"/>
  <c r="AC70"/>
  <c r="R34"/>
  <c r="R27" s="1"/>
  <c r="Q18"/>
  <c r="AH69" l="1"/>
  <c r="O10" i="41"/>
  <c r="AC69" i="22"/>
  <c r="G101"/>
  <c r="G47" s="1"/>
  <c r="S34"/>
  <c r="S27" s="1"/>
  <c r="R18"/>
  <c r="G102" l="1"/>
  <c r="O22" i="41"/>
  <c r="O39" s="1"/>
  <c r="AC101" i="22"/>
  <c r="T34"/>
  <c r="T27" s="1"/>
  <c r="S18"/>
  <c r="U34" l="1"/>
  <c r="U27" s="1"/>
  <c r="T18"/>
  <c r="V34" l="1"/>
  <c r="V27" s="1"/>
  <c r="U18"/>
  <c r="W34" l="1"/>
  <c r="W27" s="1"/>
  <c r="V18"/>
  <c r="X34" l="1"/>
  <c r="X27" s="1"/>
  <c r="W18"/>
  <c r="X18" l="1"/>
  <c r="Y18" l="1"/>
  <c r="R22" i="24" l="1"/>
  <c r="N22"/>
  <c r="J22"/>
  <c r="O22"/>
  <c r="K22"/>
  <c r="P22"/>
  <c r="L22"/>
  <c r="M22"/>
  <c r="S22"/>
  <c r="T22"/>
  <c r="Q22"/>
  <c r="AA10" i="41" l="1"/>
  <c r="C100" i="22" l="1"/>
  <c r="B100"/>
  <c r="C99"/>
  <c r="D21" i="41" s="1"/>
  <c r="B99" i="22"/>
  <c r="C21" i="41" s="1"/>
  <c r="AE98" i="22"/>
  <c r="AD98" s="1"/>
  <c r="AG98"/>
  <c r="C97"/>
  <c r="D19" i="41" s="1"/>
  <c r="B97" i="22"/>
  <c r="C19" i="41" s="1"/>
  <c r="C95" i="22"/>
  <c r="B95"/>
  <c r="C94"/>
  <c r="B94"/>
  <c r="C17" i="41" s="1"/>
  <c r="C93" i="22"/>
  <c r="B93"/>
  <c r="C92"/>
  <c r="D16" i="41" s="1"/>
  <c r="C91" i="22"/>
  <c r="B91"/>
  <c r="C89"/>
  <c r="B89"/>
  <c r="C88"/>
  <c r="B88"/>
  <c r="C87"/>
  <c r="B87"/>
  <c r="C85"/>
  <c r="B85"/>
  <c r="C83"/>
  <c r="B83"/>
  <c r="C82"/>
  <c r="B82"/>
  <c r="C81"/>
  <c r="B81"/>
  <c r="C80"/>
  <c r="B80"/>
  <c r="C79"/>
  <c r="B79"/>
  <c r="C78"/>
  <c r="D13" i="41" s="1"/>
  <c r="B78" i="22"/>
  <c r="C13" i="41" s="1"/>
  <c r="C77" i="22"/>
  <c r="B77"/>
  <c r="C76"/>
  <c r="D12" i="41" s="1"/>
  <c r="C75" i="22"/>
  <c r="B75"/>
  <c r="C73"/>
  <c r="B73"/>
  <c r="C72"/>
  <c r="B72"/>
  <c r="C71"/>
  <c r="B71"/>
  <c r="C68"/>
  <c r="D9" i="41" s="1"/>
  <c r="C67" i="22"/>
  <c r="B67"/>
  <c r="C66"/>
  <c r="B66"/>
  <c r="C65"/>
  <c r="B65"/>
  <c r="C63"/>
  <c r="B63"/>
  <c r="C62"/>
  <c r="D7" i="41" s="1"/>
  <c r="C61" i="22"/>
  <c r="B61"/>
  <c r="C60"/>
  <c r="C59"/>
  <c r="B59"/>
  <c r="C58"/>
  <c r="D6" i="41" s="1"/>
  <c r="B58" i="22"/>
  <c r="C6" i="41" s="1"/>
  <c r="C43" i="22"/>
  <c r="B43"/>
  <c r="C42"/>
  <c r="D35" i="41" s="1"/>
  <c r="B42" i="22"/>
  <c r="C35" i="41" s="1"/>
  <c r="C41" i="22"/>
  <c r="B41"/>
  <c r="C40"/>
  <c r="D34" i="41" s="1"/>
  <c r="B40" i="22"/>
  <c r="C34" i="41" s="1"/>
  <c r="C39" i="22"/>
  <c r="B39"/>
  <c r="C38"/>
  <c r="D33" i="41" s="1"/>
  <c r="B38" i="22"/>
  <c r="C33" i="41" s="1"/>
  <c r="C36" i="22"/>
  <c r="B36"/>
  <c r="C35"/>
  <c r="B35"/>
  <c r="C33"/>
  <c r="B33"/>
  <c r="C32"/>
  <c r="B32"/>
  <c r="C31"/>
  <c r="B31"/>
  <c r="C30"/>
  <c r="B30"/>
  <c r="C29"/>
  <c r="B29"/>
  <c r="C26"/>
  <c r="B26"/>
  <c r="C25"/>
  <c r="B25"/>
  <c r="C24"/>
  <c r="D29" i="41" s="1"/>
  <c r="B24" i="22"/>
  <c r="C29" i="41" s="1"/>
  <c r="C23" i="22"/>
  <c r="B23"/>
  <c r="C22"/>
  <c r="B22"/>
  <c r="C21"/>
  <c r="B21"/>
  <c r="C19"/>
  <c r="C18"/>
  <c r="B18"/>
  <c r="C17"/>
  <c r="C15"/>
  <c r="C13"/>
  <c r="C12"/>
  <c r="B12"/>
  <c r="C28" i="41" l="1"/>
  <c r="D28"/>
  <c r="E34"/>
  <c r="E6"/>
  <c r="D17"/>
  <c r="AE72" i="22"/>
  <c r="AD72" s="1"/>
  <c r="AE75"/>
  <c r="AD75" s="1"/>
  <c r="AE12"/>
  <c r="AD12" s="1"/>
  <c r="AG58"/>
  <c r="AE65"/>
  <c r="AD65" s="1"/>
  <c r="AE67"/>
  <c r="AD67" s="1"/>
  <c r="AE79"/>
  <c r="AD79" s="1"/>
  <c r="AE81"/>
  <c r="AD81" s="1"/>
  <c r="AE83"/>
  <c r="AD83" s="1"/>
  <c r="AE58"/>
  <c r="AD58" s="1"/>
  <c r="AE59"/>
  <c r="AD59" s="1"/>
  <c r="AE61"/>
  <c r="AD61" s="1"/>
  <c r="AE73"/>
  <c r="AD73" s="1"/>
  <c r="AE66"/>
  <c r="AD66" s="1"/>
  <c r="AE80"/>
  <c r="AD80" s="1"/>
  <c r="AE82"/>
  <c r="AD82" s="1"/>
  <c r="AG97"/>
  <c r="AE77"/>
  <c r="AD77" s="1"/>
  <c r="AG78"/>
  <c r="AE78"/>
  <c r="AD78" s="1"/>
  <c r="AE60"/>
  <c r="AD60" s="1"/>
  <c r="F35"/>
  <c r="AG36"/>
  <c r="F36"/>
  <c r="AG38"/>
  <c r="AE62"/>
  <c r="AD62" s="1"/>
  <c r="AG23"/>
  <c r="AE13"/>
  <c r="AD13" s="1"/>
  <c r="AE15"/>
  <c r="AD15" s="1"/>
  <c r="AG40"/>
  <c r="AG18"/>
  <c r="AG43"/>
  <c r="AE19"/>
  <c r="AD19" s="1"/>
  <c r="F19"/>
  <c r="AE22"/>
  <c r="AD22" s="1"/>
  <c r="F22"/>
  <c r="AE24"/>
  <c r="AD24" s="1"/>
  <c r="F24"/>
  <c r="AE26"/>
  <c r="AD26" s="1"/>
  <c r="F26"/>
  <c r="AE30"/>
  <c r="AD30" s="1"/>
  <c r="F30"/>
  <c r="AE32"/>
  <c r="AD32" s="1"/>
  <c r="F32"/>
  <c r="AE38"/>
  <c r="AD38" s="1"/>
  <c r="F38"/>
  <c r="AE40"/>
  <c r="AD40" s="1"/>
  <c r="F40"/>
  <c r="F42"/>
  <c r="AE18"/>
  <c r="AD18" s="1"/>
  <c r="F18"/>
  <c r="AE21"/>
  <c r="AD21" s="1"/>
  <c r="F21"/>
  <c r="AE23"/>
  <c r="AD23" s="1"/>
  <c r="F23"/>
  <c r="AE25"/>
  <c r="AD25" s="1"/>
  <c r="F25"/>
  <c r="AE29"/>
  <c r="AD29" s="1"/>
  <c r="F29"/>
  <c r="AE31"/>
  <c r="AD31" s="1"/>
  <c r="F31"/>
  <c r="AE33"/>
  <c r="AD33" s="1"/>
  <c r="F33"/>
  <c r="AE39"/>
  <c r="AD39" s="1"/>
  <c r="F39"/>
  <c r="AE41"/>
  <c r="AD41" s="1"/>
  <c r="F41"/>
  <c r="AE43"/>
  <c r="AD43" s="1"/>
  <c r="F43"/>
  <c r="AE85"/>
  <c r="AD85" s="1"/>
  <c r="F85"/>
  <c r="AE91"/>
  <c r="AD91" s="1"/>
  <c r="F91"/>
  <c r="AG94"/>
  <c r="AE93"/>
  <c r="AD93" s="1"/>
  <c r="F93"/>
  <c r="AE95"/>
  <c r="AD95" s="1"/>
  <c r="F95"/>
  <c r="AE100"/>
  <c r="AD100" s="1"/>
  <c r="F100"/>
  <c r="AE88"/>
  <c r="AD88" s="1"/>
  <c r="F88"/>
  <c r="AE35"/>
  <c r="AD35" s="1"/>
  <c r="AE87"/>
  <c r="AD87" s="1"/>
  <c r="F87"/>
  <c r="AE89"/>
  <c r="AD89" s="1"/>
  <c r="F89"/>
  <c r="B70"/>
  <c r="AF98"/>
  <c r="AG35"/>
  <c r="AE99"/>
  <c r="AD99" s="1"/>
  <c r="AE42"/>
  <c r="AD42" s="1"/>
  <c r="AG42"/>
  <c r="AE63"/>
  <c r="AD63" s="1"/>
  <c r="AG63"/>
  <c r="AE68"/>
  <c r="AD68" s="1"/>
  <c r="AG99"/>
  <c r="E24"/>
  <c r="AG24"/>
  <c r="AG77"/>
  <c r="E77"/>
  <c r="AG79"/>
  <c r="E79"/>
  <c r="AG81"/>
  <c r="E81"/>
  <c r="AG83"/>
  <c r="E83"/>
  <c r="AG89"/>
  <c r="E89"/>
  <c r="AG12"/>
  <c r="E12"/>
  <c r="C16"/>
  <c r="D27" i="41" s="1"/>
  <c r="AE17" i="22"/>
  <c r="AD17" s="1"/>
  <c r="B20"/>
  <c r="AG21"/>
  <c r="E21"/>
  <c r="AG25"/>
  <c r="E25"/>
  <c r="B28"/>
  <c r="AG29"/>
  <c r="E29"/>
  <c r="AG31"/>
  <c r="E31"/>
  <c r="AG33"/>
  <c r="E33"/>
  <c r="B37"/>
  <c r="C32" i="41" s="1"/>
  <c r="AG39" i="22"/>
  <c r="E39"/>
  <c r="AG41"/>
  <c r="E41"/>
  <c r="AG59"/>
  <c r="E59"/>
  <c r="AG61"/>
  <c r="E61"/>
  <c r="AG71"/>
  <c r="E71"/>
  <c r="AG73"/>
  <c r="E73"/>
  <c r="AG80"/>
  <c r="E80"/>
  <c r="AG82"/>
  <c r="E82"/>
  <c r="AG85"/>
  <c r="E85"/>
  <c r="AG88"/>
  <c r="E88"/>
  <c r="AG91"/>
  <c r="E91"/>
  <c r="AG93"/>
  <c r="E93"/>
  <c r="AG95"/>
  <c r="E95"/>
  <c r="AG100"/>
  <c r="E100"/>
  <c r="B34"/>
  <c r="C31" i="41" s="1"/>
  <c r="AG66" i="22"/>
  <c r="E66"/>
  <c r="AE92"/>
  <c r="AD92" s="1"/>
  <c r="E94"/>
  <c r="AE94"/>
  <c r="AD94" s="1"/>
  <c r="E97"/>
  <c r="AE97"/>
  <c r="AD97" s="1"/>
  <c r="AG22"/>
  <c r="E22"/>
  <c r="AG30"/>
  <c r="E30"/>
  <c r="AG72"/>
  <c r="E72"/>
  <c r="AG87"/>
  <c r="E87"/>
  <c r="AG26"/>
  <c r="E26"/>
  <c r="AG32"/>
  <c r="E32"/>
  <c r="AG75"/>
  <c r="E75"/>
  <c r="C34"/>
  <c r="AE36"/>
  <c r="AD36" s="1"/>
  <c r="AG65"/>
  <c r="E65"/>
  <c r="AG67"/>
  <c r="E67"/>
  <c r="C70"/>
  <c r="AE71"/>
  <c r="AD71" s="1"/>
  <c r="AE76"/>
  <c r="AD76" s="1"/>
  <c r="E42"/>
  <c r="E40"/>
  <c r="E99"/>
  <c r="E98"/>
  <c r="E78"/>
  <c r="C90"/>
  <c r="E63"/>
  <c r="E58"/>
  <c r="E43"/>
  <c r="C37"/>
  <c r="E38"/>
  <c r="E23"/>
  <c r="E18"/>
  <c r="E36"/>
  <c r="E35"/>
  <c r="C20"/>
  <c r="C28"/>
  <c r="C74"/>
  <c r="D11" i="41" s="1"/>
  <c r="C86" i="22"/>
  <c r="C96"/>
  <c r="B86"/>
  <c r="B96"/>
  <c r="AF41" l="1"/>
  <c r="AF58"/>
  <c r="AF29"/>
  <c r="AF33"/>
  <c r="D32" i="41"/>
  <c r="D31"/>
  <c r="AF31" i="22"/>
  <c r="AF23"/>
  <c r="C18" i="41"/>
  <c r="D18"/>
  <c r="AF67" i="22"/>
  <c r="AF66"/>
  <c r="AF81"/>
  <c r="D15" i="41"/>
  <c r="AF75" i="22"/>
  <c r="AF82"/>
  <c r="AF61"/>
  <c r="AF65"/>
  <c r="AF72"/>
  <c r="AF80"/>
  <c r="AF59"/>
  <c r="AE70"/>
  <c r="AD70" s="1"/>
  <c r="AF77"/>
  <c r="AF73"/>
  <c r="AF12"/>
  <c r="AF83"/>
  <c r="AF79"/>
  <c r="AE74"/>
  <c r="AD74" s="1"/>
  <c r="AF78"/>
  <c r="AG34"/>
  <c r="AF18"/>
  <c r="AG37"/>
  <c r="AF24"/>
  <c r="AF38"/>
  <c r="AF30"/>
  <c r="AF91"/>
  <c r="AF93"/>
  <c r="AF39"/>
  <c r="AF21"/>
  <c r="AF35"/>
  <c r="AF43"/>
  <c r="AF25"/>
  <c r="AF26"/>
  <c r="AE20"/>
  <c r="AD20" s="1"/>
  <c r="F20"/>
  <c r="AF40"/>
  <c r="F37"/>
  <c r="AE28"/>
  <c r="AD28" s="1"/>
  <c r="F28"/>
  <c r="AE34"/>
  <c r="AD34" s="1"/>
  <c r="F34"/>
  <c r="AF32"/>
  <c r="AF22"/>
  <c r="AF87"/>
  <c r="AF89"/>
  <c r="AF99"/>
  <c r="AF95"/>
  <c r="AF85"/>
  <c r="AF63"/>
  <c r="E70"/>
  <c r="AE86"/>
  <c r="AD86" s="1"/>
  <c r="F86"/>
  <c r="AE96"/>
  <c r="AD96" s="1"/>
  <c r="AF97"/>
  <c r="AG70"/>
  <c r="AG96"/>
  <c r="AF100"/>
  <c r="AF88"/>
  <c r="AE16"/>
  <c r="AD16" s="1"/>
  <c r="AF42"/>
  <c r="E34"/>
  <c r="AG86"/>
  <c r="E86"/>
  <c r="AG20"/>
  <c r="E20"/>
  <c r="AE90"/>
  <c r="AD90" s="1"/>
  <c r="E37"/>
  <c r="AE37"/>
  <c r="AD37" s="1"/>
  <c r="AG28"/>
  <c r="E28"/>
  <c r="AF36"/>
  <c r="AF94"/>
  <c r="AF71"/>
  <c r="E96"/>
  <c r="C69"/>
  <c r="C84"/>
  <c r="AF70" l="1"/>
  <c r="D10" i="41"/>
  <c r="D14"/>
  <c r="AF20" i="22"/>
  <c r="AF34"/>
  <c r="AF28"/>
  <c r="AF96"/>
  <c r="AE84"/>
  <c r="AD84" s="1"/>
  <c r="AF86"/>
  <c r="AE69"/>
  <c r="AF37"/>
  <c r="A21" i="2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B18"/>
  <c r="F18" s="1"/>
  <c r="J14"/>
  <c r="B14"/>
  <c r="J13"/>
  <c r="B13"/>
  <c r="J12"/>
  <c r="I12"/>
  <c r="B5"/>
  <c r="B7" s="1"/>
  <c r="G23" l="1"/>
  <c r="B15"/>
  <c r="D19" s="1"/>
  <c r="AD69" i="22"/>
  <c r="G26" i="21"/>
  <c r="G27"/>
  <c r="G21"/>
  <c r="G30"/>
  <c r="H30" s="1"/>
  <c r="I30" s="1"/>
  <c r="G22"/>
  <c r="G19"/>
  <c r="G28"/>
  <c r="G24"/>
  <c r="G20"/>
  <c r="G29"/>
  <c r="G25"/>
  <c r="H22" l="1"/>
  <c r="I22" s="1"/>
  <c r="H23"/>
  <c r="I23" s="1"/>
  <c r="B16"/>
  <c r="E68" s="1"/>
  <c r="H29"/>
  <c r="I29" s="1"/>
  <c r="H27"/>
  <c r="I27" s="1"/>
  <c r="H20"/>
  <c r="I20" s="1"/>
  <c r="H26"/>
  <c r="I26" s="1"/>
  <c r="H21"/>
  <c r="I21" s="1"/>
  <c r="H19"/>
  <c r="H25"/>
  <c r="I25" s="1"/>
  <c r="H28"/>
  <c r="I28" s="1"/>
  <c r="H24"/>
  <c r="I24" s="1"/>
  <c r="E65" l="1"/>
  <c r="E39"/>
  <c r="E56"/>
  <c r="E74"/>
  <c r="E59"/>
  <c r="E44"/>
  <c r="E64"/>
  <c r="E77"/>
  <c r="E47"/>
  <c r="E51"/>
  <c r="E34"/>
  <c r="E72"/>
  <c r="E21"/>
  <c r="E22"/>
  <c r="E60"/>
  <c r="E69"/>
  <c r="E62"/>
  <c r="E26"/>
  <c r="E55"/>
  <c r="E33"/>
  <c r="E49"/>
  <c r="E50"/>
  <c r="E27"/>
  <c r="E37"/>
  <c r="E38"/>
  <c r="E24"/>
  <c r="E25"/>
  <c r="E45"/>
  <c r="E32"/>
  <c r="E73"/>
  <c r="E29"/>
  <c r="E52"/>
  <c r="E66"/>
  <c r="E43"/>
  <c r="E40"/>
  <c r="E54"/>
  <c r="E31"/>
  <c r="E57"/>
  <c r="E42"/>
  <c r="E19"/>
  <c r="C19" s="1"/>
  <c r="E28"/>
  <c r="E67"/>
  <c r="E30"/>
  <c r="E35"/>
  <c r="E36"/>
  <c r="E61"/>
  <c r="E75"/>
  <c r="E20"/>
  <c r="E53"/>
  <c r="E70"/>
  <c r="E63"/>
  <c r="E76"/>
  <c r="E41"/>
  <c r="E58"/>
  <c r="E71"/>
  <c r="E78"/>
  <c r="E48"/>
  <c r="E23"/>
  <c r="E46"/>
  <c r="I19"/>
  <c r="I18" s="1"/>
  <c r="F19" l="1"/>
  <c r="J20"/>
  <c r="J24"/>
  <c r="J28"/>
  <c r="J32"/>
  <c r="J36"/>
  <c r="J40"/>
  <c r="J42"/>
  <c r="J23"/>
  <c r="J27"/>
  <c r="J31"/>
  <c r="J35"/>
  <c r="J39"/>
  <c r="J21"/>
  <c r="J25"/>
  <c r="J29"/>
  <c r="J33"/>
  <c r="J37"/>
  <c r="J19"/>
  <c r="J41"/>
  <c r="J22"/>
  <c r="J26"/>
  <c r="J30"/>
  <c r="J34"/>
  <c r="J38"/>
  <c r="D20" l="1"/>
  <c r="C20" s="1"/>
  <c r="F20" l="1"/>
  <c r="D21" l="1"/>
  <c r="C21" l="1"/>
  <c r="L14"/>
  <c r="M14" l="1"/>
  <c r="F21"/>
  <c r="D22" l="1"/>
  <c r="C22" l="1"/>
  <c r="F22" l="1"/>
  <c r="D23" l="1"/>
  <c r="C23" l="1"/>
  <c r="F23" l="1"/>
  <c r="D24" l="1"/>
  <c r="C24" l="1"/>
  <c r="L13"/>
  <c r="M13" l="1"/>
  <c r="F24"/>
  <c r="D25" l="1"/>
  <c r="C25" s="1"/>
  <c r="F25" s="1"/>
  <c r="D26" l="1"/>
  <c r="C26" s="1"/>
  <c r="F26" s="1"/>
  <c r="D27" l="1"/>
  <c r="C27" l="1"/>
  <c r="L12"/>
  <c r="M12" l="1"/>
  <c r="F27"/>
  <c r="D28" l="1"/>
  <c r="C28" s="1"/>
  <c r="F28" s="1"/>
  <c r="D29" l="1"/>
  <c r="C29" s="1"/>
  <c r="F29" s="1"/>
  <c r="D30" l="1"/>
  <c r="C30" l="1"/>
  <c r="E13"/>
  <c r="F30" l="1"/>
  <c r="M18" s="1"/>
  <c r="D31" l="1"/>
  <c r="C31" s="1"/>
  <c r="F31" s="1"/>
  <c r="D32" s="1"/>
  <c r="C32" s="1"/>
  <c r="F32" l="1"/>
  <c r="D33" s="1"/>
  <c r="C33" s="1"/>
  <c r="F33" s="1"/>
  <c r="D34" s="1"/>
  <c r="C34" s="1"/>
  <c r="F34" s="1"/>
  <c r="D35" l="1"/>
  <c r="C35" s="1"/>
  <c r="F35" s="1"/>
  <c r="D36" l="1"/>
  <c r="C36" s="1"/>
  <c r="F36" s="1"/>
  <c r="D37" l="1"/>
  <c r="C37" s="1"/>
  <c r="F37" s="1"/>
  <c r="D38" l="1"/>
  <c r="C38" s="1"/>
  <c r="F38" s="1"/>
  <c r="D39" l="1"/>
  <c r="C39" s="1"/>
  <c r="F39" s="1"/>
  <c r="D40" l="1"/>
  <c r="C40" s="1"/>
  <c r="F40" s="1"/>
  <c r="D41" l="1"/>
  <c r="C41" s="1"/>
  <c r="F41" s="1"/>
  <c r="D42" l="1"/>
  <c r="C42" s="1"/>
  <c r="F42" s="1"/>
  <c r="M19" s="1"/>
  <c r="M20" l="1"/>
  <c r="D43"/>
  <c r="C43" s="1"/>
  <c r="F43" s="1"/>
  <c r="M21" l="1"/>
  <c r="D44"/>
  <c r="C44" s="1"/>
  <c r="F44" s="1"/>
  <c r="D45" l="1"/>
  <c r="C45" s="1"/>
  <c r="F45" s="1"/>
  <c r="D46" l="1"/>
  <c r="C46" s="1"/>
  <c r="F46" s="1"/>
  <c r="D47" l="1"/>
  <c r="C47" s="1"/>
  <c r="F47" s="1"/>
  <c r="D48" l="1"/>
  <c r="C48" s="1"/>
  <c r="F48" s="1"/>
  <c r="D49" l="1"/>
  <c r="C49" s="1"/>
  <c r="F49" s="1"/>
  <c r="D50" l="1"/>
  <c r="C50" s="1"/>
  <c r="F50" s="1"/>
  <c r="D51" l="1"/>
  <c r="C51" s="1"/>
  <c r="F51" s="1"/>
  <c r="D52" l="1"/>
  <c r="C52" s="1"/>
  <c r="F52" s="1"/>
  <c r="D53" l="1"/>
  <c r="C53" s="1"/>
  <c r="F53" s="1"/>
  <c r="D54" l="1"/>
  <c r="C54" s="1"/>
  <c r="F54" s="1"/>
  <c r="D55" l="1"/>
  <c r="C55" s="1"/>
  <c r="F55" s="1"/>
  <c r="D56" l="1"/>
  <c r="C56" s="1"/>
  <c r="F56" s="1"/>
  <c r="D57" l="1"/>
  <c r="C57" s="1"/>
  <c r="F57" s="1"/>
  <c r="D58" l="1"/>
  <c r="C58" s="1"/>
  <c r="F58" s="1"/>
  <c r="D59" l="1"/>
  <c r="C59" s="1"/>
  <c r="F59" s="1"/>
  <c r="D60" l="1"/>
  <c r="C60" s="1"/>
  <c r="F60" s="1"/>
  <c r="D61" l="1"/>
  <c r="C61" s="1"/>
  <c r="F61" s="1"/>
  <c r="D62" l="1"/>
  <c r="C62" s="1"/>
  <c r="F62" s="1"/>
  <c r="D63" l="1"/>
  <c r="C63" s="1"/>
  <c r="F63" s="1"/>
  <c r="D64" l="1"/>
  <c r="C64" s="1"/>
  <c r="F64" s="1"/>
  <c r="D65" l="1"/>
  <c r="C65" s="1"/>
  <c r="F65" s="1"/>
  <c r="D66" l="1"/>
  <c r="C66" s="1"/>
  <c r="F66" s="1"/>
  <c r="D67" l="1"/>
  <c r="C67" s="1"/>
  <c r="F67" s="1"/>
  <c r="D68" l="1"/>
  <c r="C68" s="1"/>
  <c r="F68" s="1"/>
  <c r="D69" l="1"/>
  <c r="C69" s="1"/>
  <c r="F69" s="1"/>
  <c r="D70" l="1"/>
  <c r="C70" s="1"/>
  <c r="F70" s="1"/>
  <c r="D71" l="1"/>
  <c r="C71" s="1"/>
  <c r="F71" s="1"/>
  <c r="D72" l="1"/>
  <c r="C72" s="1"/>
  <c r="F72" s="1"/>
  <c r="D73" l="1"/>
  <c r="C73" s="1"/>
  <c r="F73" s="1"/>
  <c r="D74" l="1"/>
  <c r="C74" s="1"/>
  <c r="F74" s="1"/>
  <c r="D75" l="1"/>
  <c r="C75" s="1"/>
  <c r="F75" s="1"/>
  <c r="D76" l="1"/>
  <c r="C76" s="1"/>
  <c r="F76" s="1"/>
  <c r="D77" l="1"/>
  <c r="C77" s="1"/>
  <c r="F77" s="1"/>
  <c r="D78" l="1"/>
  <c r="C78" s="1"/>
  <c r="F78" s="1"/>
  <c r="Z123" i="22" l="1"/>
  <c r="M29" i="24"/>
  <c r="L29"/>
  <c r="O29"/>
  <c r="P29"/>
  <c r="S29"/>
  <c r="V134" i="22"/>
  <c r="N134"/>
  <c r="Y134"/>
  <c r="Q134"/>
  <c r="U134"/>
  <c r="X134"/>
  <c r="W134"/>
  <c r="T134"/>
  <c r="R134"/>
  <c r="Q131"/>
  <c r="T131"/>
  <c r="X136"/>
  <c r="T136"/>
  <c r="Q136"/>
  <c r="U131"/>
  <c r="X131"/>
  <c r="W131"/>
  <c r="N136" l="1"/>
  <c r="I16" i="24"/>
  <c r="J16"/>
  <c r="K16"/>
  <c r="M16"/>
  <c r="N16"/>
  <c r="O16"/>
  <c r="Q16"/>
  <c r="R16"/>
  <c r="S16"/>
  <c r="L16"/>
  <c r="P16"/>
  <c r="N131" i="22" l="1"/>
  <c r="V131"/>
  <c r="P134"/>
  <c r="R29" i="24"/>
  <c r="Q29"/>
  <c r="K29"/>
  <c r="J29"/>
  <c r="N29"/>
  <c r="P136" i="22"/>
  <c r="S134"/>
  <c r="O134"/>
  <c r="P131"/>
  <c r="S131"/>
  <c r="O131"/>
  <c r="S136"/>
  <c r="O136"/>
  <c r="U16" i="24"/>
  <c r="W136" i="22"/>
  <c r="T16" i="24"/>
  <c r="U136" i="22"/>
  <c r="Y131"/>
  <c r="R136"/>
  <c r="V136"/>
  <c r="R131"/>
  <c r="Y136"/>
  <c r="N127" l="1"/>
  <c r="N17" s="1"/>
  <c r="N126"/>
  <c r="N15" s="1"/>
  <c r="I29" i="24"/>
  <c r="T29"/>
  <c r="U126" i="22"/>
  <c r="S126"/>
  <c r="X126"/>
  <c r="Y126"/>
  <c r="W126"/>
  <c r="O126"/>
  <c r="P126"/>
  <c r="Q126"/>
  <c r="T126"/>
  <c r="V126"/>
  <c r="R126"/>
  <c r="Y132"/>
  <c r="Z136" s="1"/>
  <c r="X127"/>
  <c r="S127"/>
  <c r="R127"/>
  <c r="W127"/>
  <c r="P127"/>
  <c r="U127"/>
  <c r="O127"/>
  <c r="Y127"/>
  <c r="V127"/>
  <c r="T127"/>
  <c r="Q127"/>
  <c r="N124"/>
  <c r="N129"/>
  <c r="N19" s="1"/>
  <c r="R129"/>
  <c r="P124"/>
  <c r="P129"/>
  <c r="O129"/>
  <c r="Q124"/>
  <c r="R124"/>
  <c r="Q129"/>
  <c r="O124"/>
  <c r="U29" i="24"/>
  <c r="V129" i="22"/>
  <c r="U124"/>
  <c r="S124"/>
  <c r="X124"/>
  <c r="W124"/>
  <c r="W129"/>
  <c r="S129"/>
  <c r="T124"/>
  <c r="V124"/>
  <c r="U129"/>
  <c r="Y124"/>
  <c r="T129"/>
  <c r="Y129"/>
  <c r="X129"/>
  <c r="N16" l="1"/>
  <c r="O17"/>
  <c r="P17" s="1"/>
  <c r="Q17" s="1"/>
  <c r="R17" s="1"/>
  <c r="S17" s="1"/>
  <c r="T17" s="1"/>
  <c r="U17" s="1"/>
  <c r="V17" s="1"/>
  <c r="W17" s="1"/>
  <c r="X17" s="1"/>
  <c r="Y17" s="1"/>
  <c r="B17" s="1"/>
  <c r="E17" s="1"/>
  <c r="Y68"/>
  <c r="O15"/>
  <c r="P15" s="1"/>
  <c r="Q15" s="1"/>
  <c r="R15" s="1"/>
  <c r="S15" s="1"/>
  <c r="T15" s="1"/>
  <c r="U15" s="1"/>
  <c r="V15" s="1"/>
  <c r="W15" s="1"/>
  <c r="X15" s="1"/>
  <c r="Y15" s="1"/>
  <c r="B15" s="1"/>
  <c r="H26" i="41"/>
  <c r="Z129" i="22"/>
  <c r="N13"/>
  <c r="O19"/>
  <c r="V29" i="24"/>
  <c r="S31" i="19"/>
  <c r="R30"/>
  <c r="O30"/>
  <c r="O29"/>
  <c r="F30"/>
  <c r="F29"/>
  <c r="C31"/>
  <c r="E31" s="1"/>
  <c r="C30"/>
  <c r="E30" s="1"/>
  <c r="C29"/>
  <c r="E29" s="1"/>
  <c r="C28"/>
  <c r="E28" s="1"/>
  <c r="C27"/>
  <c r="E27" s="1"/>
  <c r="C26"/>
  <c r="E26" s="1"/>
  <c r="C25"/>
  <c r="E25" s="1"/>
  <c r="C24"/>
  <c r="E24" s="1"/>
  <c r="C23"/>
  <c r="E23" s="1"/>
  <c r="C22"/>
  <c r="E22" s="1"/>
  <c r="C21"/>
  <c r="E21" s="1"/>
  <c r="C20"/>
  <c r="E20" s="1"/>
  <c r="C19"/>
  <c r="E19" s="1"/>
  <c r="C18"/>
  <c r="E18" s="1"/>
  <c r="C17"/>
  <c r="E17" s="1"/>
  <c r="C16"/>
  <c r="E16" s="1"/>
  <c r="C15"/>
  <c r="E15" s="1"/>
  <c r="C14"/>
  <c r="E14" s="1"/>
  <c r="C13"/>
  <c r="E13" s="1"/>
  <c r="C12"/>
  <c r="E12" s="1"/>
  <c r="C11"/>
  <c r="E11" s="1"/>
  <c r="C10"/>
  <c r="E10" s="1"/>
  <c r="C9"/>
  <c r="E9" s="1"/>
  <c r="C8"/>
  <c r="E8" s="1"/>
  <c r="C7"/>
  <c r="E7" s="1"/>
  <c r="C6"/>
  <c r="E6" s="1"/>
  <c r="C5"/>
  <c r="E5" s="1"/>
  <c r="C4"/>
  <c r="D32"/>
  <c r="CB112" i="5"/>
  <c r="CA112"/>
  <c r="BZ112"/>
  <c r="BY112"/>
  <c r="BX112"/>
  <c r="BW112"/>
  <c r="BV112"/>
  <c r="BU112"/>
  <c r="BT112"/>
  <c r="BS112"/>
  <c r="BR112"/>
  <c r="BQ112"/>
  <c r="BQ111"/>
  <c r="BQ120" s="1"/>
  <c r="BR111"/>
  <c r="BS111"/>
  <c r="BT111"/>
  <c r="BU111"/>
  <c r="BV111"/>
  <c r="BV120" s="1"/>
  <c r="BW111"/>
  <c r="BX111"/>
  <c r="BY111"/>
  <c r="BY120" s="1"/>
  <c r="BZ111"/>
  <c r="CA111"/>
  <c r="CB111"/>
  <c r="AV112"/>
  <c r="AV120" s="1"/>
  <c r="AU112"/>
  <c r="AU120" s="1"/>
  <c r="AT112"/>
  <c r="AT120" s="1"/>
  <c r="AS112"/>
  <c r="AS120" s="1"/>
  <c r="J111"/>
  <c r="BU120" l="1"/>
  <c r="BW120"/>
  <c r="CA120"/>
  <c r="BS120"/>
  <c r="BZ120"/>
  <c r="BR120"/>
  <c r="BX120"/>
  <c r="CB120"/>
  <c r="BT120"/>
  <c r="E15" i="22"/>
  <c r="AG15"/>
  <c r="AF15" s="1"/>
  <c r="O13"/>
  <c r="P19"/>
  <c r="P16" s="1"/>
  <c r="O16"/>
  <c r="AG17"/>
  <c r="AF17" s="1"/>
  <c r="B68"/>
  <c r="C9" i="41" s="1"/>
  <c r="E9" s="1"/>
  <c r="J72" i="5"/>
  <c r="AU72" s="1"/>
  <c r="AY111"/>
  <c r="C32" i="19"/>
  <c r="E4"/>
  <c r="I9" i="41" l="1"/>
  <c r="G9" s="1"/>
  <c r="F9" s="1"/>
  <c r="P13" i="22"/>
  <c r="Q19"/>
  <c r="Q16" s="1"/>
  <c r="AS72" i="5"/>
  <c r="AT72"/>
  <c r="AV72"/>
  <c r="AG68" i="22"/>
  <c r="AF68" s="1"/>
  <c r="E68"/>
  <c r="AY72" i="5"/>
  <c r="P30" i="19"/>
  <c r="Q30" s="1"/>
  <c r="G30"/>
  <c r="E32"/>
  <c r="Q13" i="22" l="1"/>
  <c r="R19"/>
  <c r="R16" s="1"/>
  <c r="BK72" i="5"/>
  <c r="BB72"/>
  <c r="K30" i="19"/>
  <c r="H30"/>
  <c r="R13" i="22" l="1"/>
  <c r="S19"/>
  <c r="S16" s="1"/>
  <c r="BK111" i="5"/>
  <c r="CD111" s="1"/>
  <c r="BL72"/>
  <c r="BC72"/>
  <c r="S13" i="22" l="1"/>
  <c r="T19"/>
  <c r="T16" s="1"/>
  <c r="BK120" i="5"/>
  <c r="S30" i="19"/>
  <c r="T30" s="1"/>
  <c r="T13" i="22" l="1"/>
  <c r="U19"/>
  <c r="U16" s="1"/>
  <c r="W30" i="19"/>
  <c r="BH22" i="5"/>
  <c r="BH16"/>
  <c r="BH15"/>
  <c r="BH10"/>
  <c r="BH8"/>
  <c r="BH5"/>
  <c r="AV24"/>
  <c r="AU24"/>
  <c r="AT24"/>
  <c r="AS24"/>
  <c r="AV23"/>
  <c r="AU23"/>
  <c r="AT23"/>
  <c r="AS23"/>
  <c r="M35" i="18"/>
  <c r="J85" i="5"/>
  <c r="J86"/>
  <c r="J87"/>
  <c r="J88"/>
  <c r="J89"/>
  <c r="J90"/>
  <c r="J91"/>
  <c r="J92"/>
  <c r="J93"/>
  <c r="J94"/>
  <c r="J95"/>
  <c r="J96"/>
  <c r="J97"/>
  <c r="J98"/>
  <c r="J99"/>
  <c r="J100"/>
  <c r="J101"/>
  <c r="J102"/>
  <c r="J103"/>
  <c r="J104"/>
  <c r="J105"/>
  <c r="J106"/>
  <c r="J107"/>
  <c r="J108"/>
  <c r="J109"/>
  <c r="J110"/>
  <c r="J112"/>
  <c r="L37" i="18"/>
  <c r="M5"/>
  <c r="M6"/>
  <c r="M7"/>
  <c r="M8"/>
  <c r="M9"/>
  <c r="M10"/>
  <c r="M11"/>
  <c r="M12"/>
  <c r="M13"/>
  <c r="M14"/>
  <c r="M15"/>
  <c r="M16"/>
  <c r="M17"/>
  <c r="M18"/>
  <c r="M19"/>
  <c r="M20"/>
  <c r="M21"/>
  <c r="M22"/>
  <c r="M23"/>
  <c r="M24"/>
  <c r="M25"/>
  <c r="M26"/>
  <c r="M27"/>
  <c r="M28"/>
  <c r="M29"/>
  <c r="M30"/>
  <c r="M31"/>
  <c r="M32"/>
  <c r="M33"/>
  <c r="M34"/>
  <c r="M4"/>
  <c r="N29" i="10"/>
  <c r="N27"/>
  <c r="N26"/>
  <c r="N25"/>
  <c r="N18"/>
  <c r="N13"/>
  <c r="N12"/>
  <c r="N9"/>
  <c r="N6"/>
  <c r="H68"/>
  <c r="H7"/>
  <c r="H8"/>
  <c r="H9"/>
  <c r="H10"/>
  <c r="H11"/>
  <c r="H12"/>
  <c r="H13"/>
  <c r="H14"/>
  <c r="H15"/>
  <c r="H16"/>
  <c r="H17"/>
  <c r="H18"/>
  <c r="H19"/>
  <c r="H20"/>
  <c r="H21"/>
  <c r="H22"/>
  <c r="H23"/>
  <c r="H24"/>
  <c r="H25"/>
  <c r="H26"/>
  <c r="H27"/>
  <c r="H28"/>
  <c r="H29"/>
  <c r="H30"/>
  <c r="H31"/>
  <c r="H32"/>
  <c r="H33"/>
  <c r="H34"/>
  <c r="H35"/>
  <c r="H36"/>
  <c r="H37"/>
  <c r="H38"/>
  <c r="H39"/>
  <c r="H40"/>
  <c r="H41"/>
  <c r="H42"/>
  <c r="H43"/>
  <c r="H44"/>
  <c r="H45"/>
  <c r="H46"/>
  <c r="H47"/>
  <c r="H48"/>
  <c r="H49"/>
  <c r="H50"/>
  <c r="H51"/>
  <c r="H52"/>
  <c r="H53"/>
  <c r="H54"/>
  <c r="H55"/>
  <c r="H56"/>
  <c r="H57"/>
  <c r="H58"/>
  <c r="N17" s="1"/>
  <c r="H59"/>
  <c r="N4" s="1"/>
  <c r="H60"/>
  <c r="N10" s="1"/>
  <c r="H61"/>
  <c r="H62"/>
  <c r="H63"/>
  <c r="H64"/>
  <c r="H65"/>
  <c r="H66"/>
  <c r="H67"/>
  <c r="N16" s="1"/>
  <c r="H69"/>
  <c r="H70"/>
  <c r="H71"/>
  <c r="H73"/>
  <c r="N11" s="1"/>
  <c r="H75"/>
  <c r="H76"/>
  <c r="H77"/>
  <c r="H78"/>
  <c r="H79"/>
  <c r="H80"/>
  <c r="H81"/>
  <c r="H82"/>
  <c r="H83"/>
  <c r="H84"/>
  <c r="H85"/>
  <c r="H86"/>
  <c r="H87"/>
  <c r="H88"/>
  <c r="H89"/>
  <c r="H90"/>
  <c r="H91"/>
  <c r="H92"/>
  <c r="H93"/>
  <c r="H94"/>
  <c r="H95"/>
  <c r="H96"/>
  <c r="H97"/>
  <c r="H98"/>
  <c r="H99"/>
  <c r="H101"/>
  <c r="N21" s="1"/>
  <c r="H102"/>
  <c r="N23" s="1"/>
  <c r="H103"/>
  <c r="N14" s="1"/>
  <c r="H104"/>
  <c r="N15" s="1"/>
  <c r="H105"/>
  <c r="N22" s="1"/>
  <c r="H106"/>
  <c r="H107"/>
  <c r="H108"/>
  <c r="H109"/>
  <c r="H110"/>
  <c r="H111"/>
  <c r="H112"/>
  <c r="H113"/>
  <c r="H114"/>
  <c r="H115"/>
  <c r="H116"/>
  <c r="H117"/>
  <c r="H118"/>
  <c r="H119"/>
  <c r="N19" s="1"/>
  <c r="H120"/>
  <c r="N20" s="1"/>
  <c r="H121"/>
  <c r="H122"/>
  <c r="H6"/>
  <c r="U13" i="22" l="1"/>
  <c r="V19"/>
  <c r="V16" s="1"/>
  <c r="J63" i="5"/>
  <c r="J47"/>
  <c r="J52"/>
  <c r="J49"/>
  <c r="J67"/>
  <c r="J120"/>
  <c r="AY112"/>
  <c r="J68"/>
  <c r="J70"/>
  <c r="J66"/>
  <c r="J58"/>
  <c r="AS58" s="1"/>
  <c r="J50"/>
  <c r="J117"/>
  <c r="N5" i="10"/>
  <c r="N30"/>
  <c r="N24"/>
  <c r="N7"/>
  <c r="N8"/>
  <c r="N28"/>
  <c r="H4"/>
  <c r="AT58" i="5" l="1"/>
  <c r="V13" i="22"/>
  <c r="W19"/>
  <c r="W16" s="1"/>
  <c r="AV58" i="5"/>
  <c r="AU58"/>
  <c r="AY120"/>
  <c r="CD120" s="1"/>
  <c r="P31" i="19"/>
  <c r="G31"/>
  <c r="AS50" i="5"/>
  <c r="AT50"/>
  <c r="AU50"/>
  <c r="AV50"/>
  <c r="AS68"/>
  <c r="AT68"/>
  <c r="AU68"/>
  <c r="AV68"/>
  <c r="AS49"/>
  <c r="AT49"/>
  <c r="AU49"/>
  <c r="AV49"/>
  <c r="AS47"/>
  <c r="AT47"/>
  <c r="AU47"/>
  <c r="AV47"/>
  <c r="AS70"/>
  <c r="AT70"/>
  <c r="AU70"/>
  <c r="AV70"/>
  <c r="AS52"/>
  <c r="AT52"/>
  <c r="AU52"/>
  <c r="AV52"/>
  <c r="AS63"/>
  <c r="AS102" s="1"/>
  <c r="AT63"/>
  <c r="AT102" s="1"/>
  <c r="AU63"/>
  <c r="AU102" s="1"/>
  <c r="AV63"/>
  <c r="AV102" s="1"/>
  <c r="AS66"/>
  <c r="AT66"/>
  <c r="AU66"/>
  <c r="AV66"/>
  <c r="AS67"/>
  <c r="AT67"/>
  <c r="AU67"/>
  <c r="AV67"/>
  <c r="W13" i="22" l="1"/>
  <c r="X19"/>
  <c r="X16" s="1"/>
  <c r="W31" i="19"/>
  <c r="K31"/>
  <c r="AY102" i="5"/>
  <c r="M14" i="22" l="1"/>
  <c r="G65" i="24"/>
  <c r="U20" s="1"/>
  <c r="G70"/>
  <c r="G68"/>
  <c r="G66"/>
  <c r="U22" s="1"/>
  <c r="X13" i="22"/>
  <c r="Y19"/>
  <c r="Y16" s="1"/>
  <c r="BK142" i="5"/>
  <c r="BK141"/>
  <c r="H68" i="24"/>
  <c r="H70"/>
  <c r="P21" i="19"/>
  <c r="G21"/>
  <c r="S36" i="41" l="1"/>
  <c r="S35" s="1"/>
  <c r="H77" i="24"/>
  <c r="I12" i="41"/>
  <c r="G12" s="1"/>
  <c r="D5" i="39"/>
  <c r="I26" i="41"/>
  <c r="G26" s="1"/>
  <c r="I70" i="24"/>
  <c r="AH14" i="22"/>
  <c r="N14"/>
  <c r="M11"/>
  <c r="N26" i="41" s="1"/>
  <c r="P26" s="1"/>
  <c r="Q26" s="1"/>
  <c r="C14" i="22"/>
  <c r="I5" i="24"/>
  <c r="H61"/>
  <c r="M44" i="22" s="1"/>
  <c r="N36" i="41" s="1"/>
  <c r="P36" s="1"/>
  <c r="H101" i="24"/>
  <c r="I68"/>
  <c r="Y13" i="22"/>
  <c r="B19"/>
  <c r="H66" i="24"/>
  <c r="I66" s="1"/>
  <c r="H65"/>
  <c r="I65" s="1"/>
  <c r="BK143" i="5"/>
  <c r="R36" i="41" l="1"/>
  <c r="Q36" s="1"/>
  <c r="AH44" i="22"/>
  <c r="M27"/>
  <c r="C44"/>
  <c r="D36" i="41" s="1"/>
  <c r="O14" i="22"/>
  <c r="N11"/>
  <c r="N10" s="1"/>
  <c r="N45" s="1"/>
  <c r="AH11"/>
  <c r="M10"/>
  <c r="N25" i="41" s="1"/>
  <c r="AE14" i="22"/>
  <c r="AD14" s="1"/>
  <c r="C11"/>
  <c r="D26" i="41" s="1"/>
  <c r="H62" i="24"/>
  <c r="B13" i="22"/>
  <c r="E19"/>
  <c r="B16"/>
  <c r="C27" i="41" s="1"/>
  <c r="E27" s="1"/>
  <c r="AG19" i="22"/>
  <c r="AF19" s="1"/>
  <c r="AH27" l="1"/>
  <c r="N30" i="41"/>
  <c r="AE11" i="22"/>
  <c r="AD11" s="1"/>
  <c r="C10"/>
  <c r="D25" i="41" s="1"/>
  <c r="AH10" i="22"/>
  <c r="M45"/>
  <c r="AE44"/>
  <c r="AD44" s="1"/>
  <c r="F44"/>
  <c r="C104"/>
  <c r="C27"/>
  <c r="D30" i="41" s="1"/>
  <c r="P14" i="22"/>
  <c r="O11"/>
  <c r="O10" s="1"/>
  <c r="O45" s="1"/>
  <c r="E16"/>
  <c r="AG13"/>
  <c r="AF13" s="1"/>
  <c r="E13"/>
  <c r="AG16"/>
  <c r="AF16" s="1"/>
  <c r="N35" i="10"/>
  <c r="N34"/>
  <c r="I7"/>
  <c r="I8"/>
  <c r="I9"/>
  <c r="I10"/>
  <c r="I11"/>
  <c r="I12"/>
  <c r="I13"/>
  <c r="I14"/>
  <c r="I15"/>
  <c r="I16"/>
  <c r="I17"/>
  <c r="I18"/>
  <c r="I19"/>
  <c r="I20"/>
  <c r="I21"/>
  <c r="I22"/>
  <c r="I23"/>
  <c r="I24"/>
  <c r="I25"/>
  <c r="I26"/>
  <c r="I27"/>
  <c r="I28"/>
  <c r="I29"/>
  <c r="I30"/>
  <c r="I31"/>
  <c r="I32"/>
  <c r="I33"/>
  <c r="I34"/>
  <c r="I35"/>
  <c r="I36"/>
  <c r="I37"/>
  <c r="I38"/>
  <c r="I39"/>
  <c r="I40"/>
  <c r="I41"/>
  <c r="I42"/>
  <c r="I43"/>
  <c r="I44"/>
  <c r="I45"/>
  <c r="I46"/>
  <c r="I47"/>
  <c r="I48"/>
  <c r="I49"/>
  <c r="I50"/>
  <c r="I51"/>
  <c r="I52"/>
  <c r="I53"/>
  <c r="I54"/>
  <c r="I55"/>
  <c r="I56"/>
  <c r="I57"/>
  <c r="I58"/>
  <c r="I59"/>
  <c r="I60"/>
  <c r="I61"/>
  <c r="I62"/>
  <c r="I63"/>
  <c r="I64"/>
  <c r="I65"/>
  <c r="I66"/>
  <c r="I67"/>
  <c r="I68"/>
  <c r="I69"/>
  <c r="I70"/>
  <c r="I71"/>
  <c r="I72"/>
  <c r="I73"/>
  <c r="I74"/>
  <c r="I75"/>
  <c r="I76"/>
  <c r="I77"/>
  <c r="I78"/>
  <c r="I79"/>
  <c r="I80"/>
  <c r="I81"/>
  <c r="I82"/>
  <c r="I83"/>
  <c r="I84"/>
  <c r="I85"/>
  <c r="I86"/>
  <c r="I87"/>
  <c r="I88"/>
  <c r="I89"/>
  <c r="I90"/>
  <c r="I91"/>
  <c r="I92"/>
  <c r="I93"/>
  <c r="I94"/>
  <c r="I95"/>
  <c r="I96"/>
  <c r="I97"/>
  <c r="I98"/>
  <c r="I99"/>
  <c r="I100"/>
  <c r="I101"/>
  <c r="I102"/>
  <c r="I103"/>
  <c r="I104"/>
  <c r="I105"/>
  <c r="I106"/>
  <c r="I107"/>
  <c r="I108"/>
  <c r="I109"/>
  <c r="I110"/>
  <c r="I111"/>
  <c r="I112"/>
  <c r="I113"/>
  <c r="I114"/>
  <c r="I115"/>
  <c r="I116"/>
  <c r="I117"/>
  <c r="I118"/>
  <c r="I119"/>
  <c r="I120"/>
  <c r="I121"/>
  <c r="I122"/>
  <c r="I123"/>
  <c r="I6"/>
  <c r="J119" i="5"/>
  <c r="J118"/>
  <c r="CC43"/>
  <c r="AR41"/>
  <c r="AQ41"/>
  <c r="AP41"/>
  <c r="AO41"/>
  <c r="AN41"/>
  <c r="AM41"/>
  <c r="AL41"/>
  <c r="AK41"/>
  <c r="AJ41"/>
  <c r="AI41"/>
  <c r="AH41"/>
  <c r="AG41"/>
  <c r="AF41"/>
  <c r="AE41"/>
  <c r="AD41"/>
  <c r="AC41"/>
  <c r="AB41"/>
  <c r="AA41"/>
  <c r="Z41"/>
  <c r="Y41"/>
  <c r="AR40"/>
  <c r="AQ40"/>
  <c r="AP40"/>
  <c r="AO40"/>
  <c r="AN40"/>
  <c r="AM40"/>
  <c r="AL40"/>
  <c r="AK40"/>
  <c r="AJ40"/>
  <c r="AI40"/>
  <c r="AH40"/>
  <c r="AG40"/>
  <c r="AF40"/>
  <c r="AE40"/>
  <c r="AD40"/>
  <c r="AC40"/>
  <c r="AB40"/>
  <c r="AA40"/>
  <c r="Z40"/>
  <c r="Y40"/>
  <c r="AR39"/>
  <c r="AQ39"/>
  <c r="AP39"/>
  <c r="AO39"/>
  <c r="AN39"/>
  <c r="AN42" s="1"/>
  <c r="AM39"/>
  <c r="AL39"/>
  <c r="AL42" s="1"/>
  <c r="AK39"/>
  <c r="AJ39"/>
  <c r="AI39"/>
  <c r="AH39"/>
  <c r="AG39"/>
  <c r="AG42" s="1"/>
  <c r="AF39"/>
  <c r="AF42" s="1"/>
  <c r="AE39"/>
  <c r="AD39"/>
  <c r="AD42" s="1"/>
  <c r="AC39"/>
  <c r="AB39"/>
  <c r="AA39"/>
  <c r="Z39"/>
  <c r="Y39"/>
  <c r="Y42" s="1"/>
  <c r="W41"/>
  <c r="W40"/>
  <c r="W39"/>
  <c r="U41"/>
  <c r="U40"/>
  <c r="U39"/>
  <c r="S41"/>
  <c r="S40"/>
  <c r="S39"/>
  <c r="N41"/>
  <c r="N40"/>
  <c r="N39"/>
  <c r="L41"/>
  <c r="L40"/>
  <c r="L39"/>
  <c r="H41"/>
  <c r="H40"/>
  <c r="H39"/>
  <c r="F41"/>
  <c r="F40"/>
  <c r="F39"/>
  <c r="D41"/>
  <c r="D40"/>
  <c r="D39"/>
  <c r="J39"/>
  <c r="J41"/>
  <c r="J40"/>
  <c r="C122" i="10"/>
  <c r="C106"/>
  <c r="J73" i="5"/>
  <c r="J71"/>
  <c r="J69"/>
  <c r="J65"/>
  <c r="J64"/>
  <c r="J62"/>
  <c r="J61"/>
  <c r="J60"/>
  <c r="J59"/>
  <c r="J57"/>
  <c r="J56"/>
  <c r="J55"/>
  <c r="J54"/>
  <c r="J53"/>
  <c r="J51"/>
  <c r="J48"/>
  <c r="J46"/>
  <c r="AV46" s="1"/>
  <c r="J113"/>
  <c r="AV32"/>
  <c r="AU32"/>
  <c r="AT32"/>
  <c r="AS32"/>
  <c r="AV29"/>
  <c r="AV109" s="1"/>
  <c r="AU29"/>
  <c r="AU109" s="1"/>
  <c r="AT29"/>
  <c r="AT109" s="1"/>
  <c r="AS29"/>
  <c r="AS109" s="1"/>
  <c r="AV28"/>
  <c r="AU28"/>
  <c r="AT28"/>
  <c r="AS28"/>
  <c r="AV27"/>
  <c r="AV107" s="1"/>
  <c r="AU27"/>
  <c r="AU107" s="1"/>
  <c r="AT27"/>
  <c r="AT107" s="1"/>
  <c r="AS27"/>
  <c r="AS107" s="1"/>
  <c r="AV26"/>
  <c r="AV106" s="1"/>
  <c r="AU26"/>
  <c r="AU106" s="1"/>
  <c r="AT26"/>
  <c r="AT106" s="1"/>
  <c r="AS26"/>
  <c r="AS106" s="1"/>
  <c r="AV25"/>
  <c r="AV105" s="1"/>
  <c r="AU25"/>
  <c r="AU105" s="1"/>
  <c r="AT25"/>
  <c r="AT105" s="1"/>
  <c r="AS25"/>
  <c r="AS105" s="1"/>
  <c r="AV41"/>
  <c r="AU41"/>
  <c r="AS41"/>
  <c r="AV40"/>
  <c r="AU40"/>
  <c r="AT40"/>
  <c r="AS40"/>
  <c r="AV21"/>
  <c r="AU21"/>
  <c r="AT21"/>
  <c r="AS21"/>
  <c r="AV20"/>
  <c r="AU20"/>
  <c r="AT20"/>
  <c r="AS20"/>
  <c r="AV19"/>
  <c r="AU19"/>
  <c r="AT19"/>
  <c r="AS19"/>
  <c r="AV18"/>
  <c r="AU18"/>
  <c r="AT18"/>
  <c r="AS18"/>
  <c r="AV17"/>
  <c r="AV97" s="1"/>
  <c r="AU17"/>
  <c r="AU97" s="1"/>
  <c r="AT17"/>
  <c r="AT97" s="1"/>
  <c r="AS17"/>
  <c r="AS97" s="1"/>
  <c r="AV16"/>
  <c r="AU16"/>
  <c r="AT16"/>
  <c r="AS16"/>
  <c r="AV15"/>
  <c r="AU15"/>
  <c r="AT15"/>
  <c r="AS15"/>
  <c r="AV14"/>
  <c r="AU14"/>
  <c r="AT14"/>
  <c r="AS14"/>
  <c r="AV13"/>
  <c r="AU13"/>
  <c r="AT13"/>
  <c r="AS13"/>
  <c r="AV12"/>
  <c r="AU12"/>
  <c r="AT12"/>
  <c r="AS12"/>
  <c r="AV11"/>
  <c r="AV91" s="1"/>
  <c r="AU11"/>
  <c r="AU91" s="1"/>
  <c r="AT11"/>
  <c r="AT91" s="1"/>
  <c r="AS11"/>
  <c r="AS91" s="1"/>
  <c r="AV10"/>
  <c r="AU10"/>
  <c r="AT10"/>
  <c r="AS10"/>
  <c r="AV9"/>
  <c r="AV89" s="1"/>
  <c r="AU9"/>
  <c r="AU89" s="1"/>
  <c r="AT9"/>
  <c r="AT89" s="1"/>
  <c r="AS9"/>
  <c r="AS89" s="1"/>
  <c r="AV8"/>
  <c r="AV88" s="1"/>
  <c r="AU8"/>
  <c r="AU88" s="1"/>
  <c r="AT8"/>
  <c r="AT88" s="1"/>
  <c r="AS8"/>
  <c r="AS88" s="1"/>
  <c r="AV7"/>
  <c r="AU7"/>
  <c r="AT7"/>
  <c r="AS7"/>
  <c r="AV6"/>
  <c r="AV86" s="1"/>
  <c r="AU6"/>
  <c r="AU86" s="1"/>
  <c r="AT6"/>
  <c r="AT86" s="1"/>
  <c r="AS6"/>
  <c r="AS86" s="1"/>
  <c r="AV5"/>
  <c r="AU5"/>
  <c r="AT5"/>
  <c r="AS5"/>
  <c r="BK30"/>
  <c r="BI30"/>
  <c r="BJ30" s="1"/>
  <c r="AW5"/>
  <c r="D3" i="39" l="1"/>
  <c r="D7" s="1"/>
  <c r="D56" i="23"/>
  <c r="AE42" i="5"/>
  <c r="S42"/>
  <c r="AB42"/>
  <c r="AJ42"/>
  <c r="AC42"/>
  <c r="AK42"/>
  <c r="P41"/>
  <c r="AM42"/>
  <c r="AY89"/>
  <c r="P8" i="19" s="1"/>
  <c r="AY91" i="5"/>
  <c r="P10" i="19" s="1"/>
  <c r="AY97" i="5"/>
  <c r="P16" i="19" s="1"/>
  <c r="AY106" i="5"/>
  <c r="P25" i="19" s="1"/>
  <c r="N42" i="5"/>
  <c r="J42"/>
  <c r="AS39"/>
  <c r="AS42" s="1"/>
  <c r="AU39"/>
  <c r="AU42" s="1"/>
  <c r="D42"/>
  <c r="AO42"/>
  <c r="J80"/>
  <c r="AY105"/>
  <c r="AY107"/>
  <c r="AY109"/>
  <c r="Z42"/>
  <c r="AH42"/>
  <c r="AP42"/>
  <c r="AY86"/>
  <c r="AY88"/>
  <c r="AA42"/>
  <c r="AI42"/>
  <c r="AQ42"/>
  <c r="F42"/>
  <c r="AR42"/>
  <c r="AH45" i="22"/>
  <c r="N37" i="41"/>
  <c r="AE27" i="22"/>
  <c r="AD27" s="1"/>
  <c r="F27"/>
  <c r="Q14"/>
  <c r="P11"/>
  <c r="P10" s="1"/>
  <c r="P45" s="1"/>
  <c r="AE10"/>
  <c r="AD10" s="1"/>
  <c r="C45"/>
  <c r="D37" i="41" s="1"/>
  <c r="CB30" i="5"/>
  <c r="CD30"/>
  <c r="R29" i="19"/>
  <c r="AT39" i="5"/>
  <c r="AT46"/>
  <c r="AT85" s="1"/>
  <c r="AU46"/>
  <c r="AU85" s="1"/>
  <c r="AV85"/>
  <c r="AS59"/>
  <c r="AS98" s="1"/>
  <c r="AT59"/>
  <c r="AT98" s="1"/>
  <c r="AU59"/>
  <c r="AU98" s="1"/>
  <c r="AV59"/>
  <c r="AV98" s="1"/>
  <c r="AS64"/>
  <c r="AS103" s="1"/>
  <c r="AT64"/>
  <c r="AT103" s="1"/>
  <c r="AT118" s="1"/>
  <c r="AU64"/>
  <c r="AU103" s="1"/>
  <c r="AU118" s="1"/>
  <c r="AU79" s="1"/>
  <c r="AV64"/>
  <c r="AV103" s="1"/>
  <c r="AV118" s="1"/>
  <c r="AS62"/>
  <c r="AS101" s="1"/>
  <c r="AT62"/>
  <c r="AT101" s="1"/>
  <c r="AU62"/>
  <c r="AU101" s="1"/>
  <c r="AV62"/>
  <c r="AV101" s="1"/>
  <c r="J74"/>
  <c r="J81"/>
  <c r="AS51"/>
  <c r="AS90" s="1"/>
  <c r="AT51"/>
  <c r="AT90" s="1"/>
  <c r="AU51"/>
  <c r="AU90" s="1"/>
  <c r="AV51"/>
  <c r="AV90" s="1"/>
  <c r="AS61"/>
  <c r="AS100" s="1"/>
  <c r="AT61"/>
  <c r="AT100" s="1"/>
  <c r="AU61"/>
  <c r="AU100" s="1"/>
  <c r="AV61"/>
  <c r="AV100" s="1"/>
  <c r="AS69"/>
  <c r="AS108" s="1"/>
  <c r="AT69"/>
  <c r="AT108" s="1"/>
  <c r="AU69"/>
  <c r="AU108" s="1"/>
  <c r="AV69"/>
  <c r="AV108" s="1"/>
  <c r="AS54"/>
  <c r="AS93" s="1"/>
  <c r="AT54"/>
  <c r="AT93" s="1"/>
  <c r="AU54"/>
  <c r="AU93" s="1"/>
  <c r="AV54"/>
  <c r="AV93" s="1"/>
  <c r="AS73"/>
  <c r="AT73"/>
  <c r="AU73"/>
  <c r="AV73"/>
  <c r="AS53"/>
  <c r="AS92" s="1"/>
  <c r="AT53"/>
  <c r="AT92" s="1"/>
  <c r="AU53"/>
  <c r="AU92" s="1"/>
  <c r="AV53"/>
  <c r="AV92" s="1"/>
  <c r="AS71"/>
  <c r="AS110" s="1"/>
  <c r="AT71"/>
  <c r="AT110" s="1"/>
  <c r="AU71"/>
  <c r="AU110" s="1"/>
  <c r="AV71"/>
  <c r="AV110" s="1"/>
  <c r="AS48"/>
  <c r="AS87" s="1"/>
  <c r="AT48"/>
  <c r="AT87" s="1"/>
  <c r="AU48"/>
  <c r="AU87" s="1"/>
  <c r="AV48"/>
  <c r="AV87" s="1"/>
  <c r="AS55"/>
  <c r="AS94" s="1"/>
  <c r="AT55"/>
  <c r="AT94" s="1"/>
  <c r="AU55"/>
  <c r="AU94" s="1"/>
  <c r="AV55"/>
  <c r="AV94" s="1"/>
  <c r="AS60"/>
  <c r="AS99" s="1"/>
  <c r="AT60"/>
  <c r="AT99" s="1"/>
  <c r="AU60"/>
  <c r="AU99" s="1"/>
  <c r="AV60"/>
  <c r="AV99" s="1"/>
  <c r="AS65"/>
  <c r="AS104" s="1"/>
  <c r="AT65"/>
  <c r="AT104" s="1"/>
  <c r="AT119" s="1"/>
  <c r="AU65"/>
  <c r="AU104" s="1"/>
  <c r="AU119" s="1"/>
  <c r="AU80" s="1"/>
  <c r="AV65"/>
  <c r="AV104" s="1"/>
  <c r="AV119" s="1"/>
  <c r="AV57"/>
  <c r="AV96" s="1"/>
  <c r="AS57"/>
  <c r="AS96" s="1"/>
  <c r="AT57"/>
  <c r="AT96" s="1"/>
  <c r="AU57"/>
  <c r="AU96" s="1"/>
  <c r="AV56"/>
  <c r="AV95" s="1"/>
  <c r="AS56"/>
  <c r="AS95" s="1"/>
  <c r="AT56"/>
  <c r="AT95" s="1"/>
  <c r="AU56"/>
  <c r="AU95" s="1"/>
  <c r="J79"/>
  <c r="J121"/>
  <c r="AV39"/>
  <c r="AV42" s="1"/>
  <c r="Q40"/>
  <c r="R41"/>
  <c r="J78"/>
  <c r="BW30"/>
  <c r="BM30"/>
  <c r="N36" i="10"/>
  <c r="N31"/>
  <c r="AS46" i="5"/>
  <c r="L42"/>
  <c r="W42"/>
  <c r="AT41"/>
  <c r="Q39"/>
  <c r="R40"/>
  <c r="P39"/>
  <c r="P40"/>
  <c r="Q41"/>
  <c r="H42"/>
  <c r="U42"/>
  <c r="R39"/>
  <c r="BT30"/>
  <c r="BS30"/>
  <c r="CA30"/>
  <c r="BX30"/>
  <c r="BR30"/>
  <c r="BV30"/>
  <c r="BZ30"/>
  <c r="BQ30"/>
  <c r="BU30"/>
  <c r="BY30"/>
  <c r="AY32"/>
  <c r="AY29"/>
  <c r="AY28"/>
  <c r="AY27"/>
  <c r="AY26"/>
  <c r="AY25"/>
  <c r="AY24"/>
  <c r="AY23"/>
  <c r="AY22"/>
  <c r="AY21"/>
  <c r="AY20"/>
  <c r="AY19"/>
  <c r="AY18"/>
  <c r="AY17"/>
  <c r="AY16"/>
  <c r="AY15"/>
  <c r="AY14"/>
  <c r="AY13"/>
  <c r="AY12"/>
  <c r="AY11"/>
  <c r="AY10"/>
  <c r="AY9"/>
  <c r="AY8"/>
  <c r="AY7"/>
  <c r="AY6"/>
  <c r="AY5"/>
  <c r="AW32"/>
  <c r="AX32" s="1"/>
  <c r="BA32" s="1"/>
  <c r="AW29"/>
  <c r="AX29" s="1"/>
  <c r="BA29" s="1"/>
  <c r="AW28"/>
  <c r="AX28" s="1"/>
  <c r="BA28" s="1"/>
  <c r="AW27"/>
  <c r="AX27" s="1"/>
  <c r="BA27" s="1"/>
  <c r="AW26"/>
  <c r="AX26" s="1"/>
  <c r="BA26" s="1"/>
  <c r="AW25"/>
  <c r="AX25" s="1"/>
  <c r="BA25" s="1"/>
  <c r="AW24"/>
  <c r="AX24" s="1"/>
  <c r="BA24" s="1"/>
  <c r="BA41" s="1"/>
  <c r="AW23"/>
  <c r="AX23" s="1"/>
  <c r="BA23" s="1"/>
  <c r="BA40" s="1"/>
  <c r="AW22"/>
  <c r="AX22" s="1"/>
  <c r="BA22" s="1"/>
  <c r="AW21"/>
  <c r="AX21" s="1"/>
  <c r="BA21" s="1"/>
  <c r="AW20"/>
  <c r="AX20" s="1"/>
  <c r="BA20" s="1"/>
  <c r="AW19"/>
  <c r="AX19" s="1"/>
  <c r="BA19" s="1"/>
  <c r="AW18"/>
  <c r="AX18" s="1"/>
  <c r="BA18" s="1"/>
  <c r="AW17"/>
  <c r="AX17" s="1"/>
  <c r="BA17" s="1"/>
  <c r="AW16"/>
  <c r="AX16" s="1"/>
  <c r="BA16" s="1"/>
  <c r="AW15"/>
  <c r="AX15" s="1"/>
  <c r="BA15" s="1"/>
  <c r="AW14"/>
  <c r="AX14" s="1"/>
  <c r="BA14" s="1"/>
  <c r="AW13"/>
  <c r="AX13" s="1"/>
  <c r="BA13" s="1"/>
  <c r="AW12"/>
  <c r="AX12" s="1"/>
  <c r="BA12" s="1"/>
  <c r="AW11"/>
  <c r="AX11" s="1"/>
  <c r="BA11" s="1"/>
  <c r="AW10"/>
  <c r="AX10" s="1"/>
  <c r="BA10" s="1"/>
  <c r="AW9"/>
  <c r="AX9" s="1"/>
  <c r="BA9" s="1"/>
  <c r="AW8"/>
  <c r="AX8" s="1"/>
  <c r="BA8" s="1"/>
  <c r="AW7"/>
  <c r="AX7" s="1"/>
  <c r="BA7" s="1"/>
  <c r="AW6"/>
  <c r="AX6" s="1"/>
  <c r="BA6" s="1"/>
  <c r="AX5"/>
  <c r="BA5" s="1"/>
  <c r="AV33"/>
  <c r="AU33"/>
  <c r="AU43" s="1"/>
  <c r="AT33"/>
  <c r="AS33"/>
  <c r="AR33"/>
  <c r="AR43" s="1"/>
  <c r="AQ33"/>
  <c r="AQ43" s="1"/>
  <c r="AP33"/>
  <c r="AP43" s="1"/>
  <c r="AO33"/>
  <c r="AO43" s="1"/>
  <c r="AN33"/>
  <c r="AN43" s="1"/>
  <c r="AM33"/>
  <c r="AL33"/>
  <c r="AL43" s="1"/>
  <c r="AK33"/>
  <c r="AK43" s="1"/>
  <c r="P7" i="9"/>
  <c r="P5"/>
  <c r="AM43" i="5" l="1"/>
  <c r="AV43"/>
  <c r="AY58"/>
  <c r="BB58" s="1"/>
  <c r="AS43"/>
  <c r="AY52"/>
  <c r="BB52" s="1"/>
  <c r="AY67"/>
  <c r="BB67" s="1"/>
  <c r="G10" i="19"/>
  <c r="R42" i="5"/>
  <c r="G25" i="19"/>
  <c r="G16"/>
  <c r="G8"/>
  <c r="BK12" i="5"/>
  <c r="O11" i="19"/>
  <c r="O36" s="1"/>
  <c r="F11"/>
  <c r="O19"/>
  <c r="F19"/>
  <c r="F27"/>
  <c r="O27"/>
  <c r="G7"/>
  <c r="P7"/>
  <c r="AY49" i="5"/>
  <c r="BB49" s="1"/>
  <c r="O4" i="19"/>
  <c r="F4"/>
  <c r="O12"/>
  <c r="F12"/>
  <c r="O20"/>
  <c r="F20"/>
  <c r="O28"/>
  <c r="F28"/>
  <c r="G5"/>
  <c r="P5"/>
  <c r="AY47" i="5"/>
  <c r="BB47" s="1"/>
  <c r="O5" i="19"/>
  <c r="F5"/>
  <c r="O13"/>
  <c r="F13"/>
  <c r="O6"/>
  <c r="F6"/>
  <c r="O14"/>
  <c r="F14"/>
  <c r="O22"/>
  <c r="O37" s="1"/>
  <c r="F22"/>
  <c r="P42" i="5"/>
  <c r="F7" i="19"/>
  <c r="O7"/>
  <c r="F15"/>
  <c r="O15"/>
  <c r="O23"/>
  <c r="O38" s="1"/>
  <c r="F23"/>
  <c r="F8"/>
  <c r="O8"/>
  <c r="F16"/>
  <c r="H16" s="1"/>
  <c r="K16" s="1"/>
  <c r="O16"/>
  <c r="Q16" s="1"/>
  <c r="F24"/>
  <c r="O24"/>
  <c r="AY70" i="5"/>
  <c r="BB70" s="1"/>
  <c r="P28" i="19"/>
  <c r="G28"/>
  <c r="Q8"/>
  <c r="O9"/>
  <c r="F9"/>
  <c r="F17"/>
  <c r="O17"/>
  <c r="F25"/>
  <c r="O25"/>
  <c r="AY68" i="5"/>
  <c r="BB68" s="1"/>
  <c r="P26" i="19"/>
  <c r="G26"/>
  <c r="Q25"/>
  <c r="AY50" i="5"/>
  <c r="BB50" s="1"/>
  <c r="O10" i="19"/>
  <c r="Q10" s="1"/>
  <c r="F10"/>
  <c r="H10" s="1"/>
  <c r="K10" s="1"/>
  <c r="F18"/>
  <c r="O18"/>
  <c r="O26"/>
  <c r="F26"/>
  <c r="G24"/>
  <c r="AY66" i="5"/>
  <c r="BB66" s="1"/>
  <c r="P24" i="19"/>
  <c r="F45" i="22"/>
  <c r="AE45"/>
  <c r="AD45" s="1"/>
  <c r="R14"/>
  <c r="Q11"/>
  <c r="Q10" s="1"/>
  <c r="Q45" s="1"/>
  <c r="G69" i="24"/>
  <c r="O31" i="19"/>
  <c r="Q31" s="1"/>
  <c r="F31"/>
  <c r="H31" s="1"/>
  <c r="AY73" i="5"/>
  <c r="BB73" s="1"/>
  <c r="CM30"/>
  <c r="BO30"/>
  <c r="CF30" s="1"/>
  <c r="CE30"/>
  <c r="CJ30"/>
  <c r="AT42"/>
  <c r="AT43" s="1"/>
  <c r="CK30"/>
  <c r="CL30"/>
  <c r="O21" i="19"/>
  <c r="F21"/>
  <c r="AY63" i="5"/>
  <c r="H69" i="24"/>
  <c r="AS119" i="5"/>
  <c r="AS80" s="1"/>
  <c r="AY104"/>
  <c r="AY94"/>
  <c r="AY110"/>
  <c r="AY93"/>
  <c r="AY90"/>
  <c r="AU117"/>
  <c r="AY95"/>
  <c r="AY96"/>
  <c r="AV117"/>
  <c r="AS118"/>
  <c r="AS79" s="1"/>
  <c r="AY103"/>
  <c r="AT117"/>
  <c r="AY99"/>
  <c r="AY87"/>
  <c r="AY92"/>
  <c r="AY108"/>
  <c r="AY100"/>
  <c r="AY101"/>
  <c r="AY98"/>
  <c r="N37" i="10"/>
  <c r="J122" i="5"/>
  <c r="AV80"/>
  <c r="AT79"/>
  <c r="AS85"/>
  <c r="AS117" s="1"/>
  <c r="AT80"/>
  <c r="AV79"/>
  <c r="BF41"/>
  <c r="BF40"/>
  <c r="AY39"/>
  <c r="BA39"/>
  <c r="AY41"/>
  <c r="Q42"/>
  <c r="AY40"/>
  <c r="AU113"/>
  <c r="BI32"/>
  <c r="BJ32" s="1"/>
  <c r="BI10"/>
  <c r="BJ10" s="1"/>
  <c r="BI28"/>
  <c r="BJ28" s="1"/>
  <c r="CC30"/>
  <c r="BI12"/>
  <c r="BJ12" s="1"/>
  <c r="BI5"/>
  <c r="BJ5" s="1"/>
  <c r="BI21"/>
  <c r="BJ21" s="1"/>
  <c r="BI24"/>
  <c r="BJ24" s="1"/>
  <c r="BI16"/>
  <c r="BJ16" s="1"/>
  <c r="BI22"/>
  <c r="BJ22" s="1"/>
  <c r="BI29"/>
  <c r="BJ29" s="1"/>
  <c r="BI15"/>
  <c r="BJ15" s="1"/>
  <c r="BI6"/>
  <c r="BJ6" s="1"/>
  <c r="BI13"/>
  <c r="BJ13" s="1"/>
  <c r="BI14"/>
  <c r="BJ14" s="1"/>
  <c r="BI19"/>
  <c r="BJ19" s="1"/>
  <c r="BI7"/>
  <c r="BJ7" s="1"/>
  <c r="BI17"/>
  <c r="BJ17" s="1"/>
  <c r="BI20"/>
  <c r="BJ20" s="1"/>
  <c r="BI8"/>
  <c r="BJ8" s="1"/>
  <c r="BI23"/>
  <c r="BJ23" s="1"/>
  <c r="BI27"/>
  <c r="BJ27" s="1"/>
  <c r="BI11"/>
  <c r="BJ11" s="1"/>
  <c r="BI25"/>
  <c r="BJ25" s="1"/>
  <c r="BI9"/>
  <c r="BJ9" s="1"/>
  <c r="BI26"/>
  <c r="BJ26" s="1"/>
  <c r="BI18"/>
  <c r="BJ18" s="1"/>
  <c r="AY33"/>
  <c r="BC6"/>
  <c r="BC10"/>
  <c r="BC14"/>
  <c r="BC18"/>
  <c r="BC22"/>
  <c r="BC26"/>
  <c r="BC32"/>
  <c r="BC5"/>
  <c r="BC9"/>
  <c r="BC13"/>
  <c r="BC17"/>
  <c r="BC21"/>
  <c r="BC25"/>
  <c r="BC29"/>
  <c r="BC8"/>
  <c r="BC12"/>
  <c r="BC16"/>
  <c r="BC20"/>
  <c r="BC24"/>
  <c r="BC41" s="1"/>
  <c r="BC28"/>
  <c r="BC7"/>
  <c r="BC11"/>
  <c r="BC15"/>
  <c r="BC19"/>
  <c r="BC23"/>
  <c r="BC40" s="1"/>
  <c r="BC27"/>
  <c r="BA33"/>
  <c r="P11" i="9"/>
  <c r="P4"/>
  <c r="P10"/>
  <c r="P6"/>
  <c r="P8"/>
  <c r="P12"/>
  <c r="P9"/>
  <c r="N13"/>
  <c r="L13"/>
  <c r="P3"/>
  <c r="M13"/>
  <c r="H25" i="19" l="1"/>
  <c r="K25" s="1"/>
  <c r="H28"/>
  <c r="K28" s="1"/>
  <c r="H8"/>
  <c r="K8" s="1"/>
  <c r="H7"/>
  <c r="K7" s="1"/>
  <c r="H24"/>
  <c r="K24" s="1"/>
  <c r="Q28"/>
  <c r="O33"/>
  <c r="H26"/>
  <c r="K26" s="1"/>
  <c r="Q26"/>
  <c r="Q5"/>
  <c r="H5"/>
  <c r="K5" s="1"/>
  <c r="O39"/>
  <c r="Q24"/>
  <c r="Q7"/>
  <c r="S14" i="22"/>
  <c r="R11"/>
  <c r="R10" s="1"/>
  <c r="R45" s="1"/>
  <c r="I69" i="24"/>
  <c r="AZ8" i="5"/>
  <c r="CN30"/>
  <c r="BB41"/>
  <c r="O32" i="19"/>
  <c r="O34" s="1"/>
  <c r="Q21"/>
  <c r="F32"/>
  <c r="F34" s="1"/>
  <c r="H21"/>
  <c r="K21" s="1"/>
  <c r="BB63" i="5"/>
  <c r="AT121"/>
  <c r="AT74"/>
  <c r="AT81"/>
  <c r="AY54"/>
  <c r="P12" i="19"/>
  <c r="Q12" s="1"/>
  <c r="G12"/>
  <c r="AV121" i="5"/>
  <c r="AV81"/>
  <c r="AV74"/>
  <c r="P9" i="19"/>
  <c r="Q9" s="1"/>
  <c r="G9"/>
  <c r="AY51" i="5"/>
  <c r="AY62"/>
  <c r="P20" i="19"/>
  <c r="Q20" s="1"/>
  <c r="G20"/>
  <c r="AY48" i="5"/>
  <c r="P6" i="19"/>
  <c r="Q6" s="1"/>
  <c r="G6"/>
  <c r="AU121" i="5"/>
  <c r="AU122" s="1"/>
  <c r="AU81"/>
  <c r="AU74"/>
  <c r="P13" i="19"/>
  <c r="Q13" s="1"/>
  <c r="G13"/>
  <c r="AY55" i="5"/>
  <c r="P27" i="19"/>
  <c r="Q27" s="1"/>
  <c r="G27"/>
  <c r="AY69" i="5"/>
  <c r="P15" i="19"/>
  <c r="Q15" s="1"/>
  <c r="G15"/>
  <c r="AY57" i="5"/>
  <c r="P19" i="19"/>
  <c r="Q19" s="1"/>
  <c r="G19"/>
  <c r="AY61" i="5"/>
  <c r="AY60"/>
  <c r="P18" i="19"/>
  <c r="Q18" s="1"/>
  <c r="G18"/>
  <c r="P23"/>
  <c r="G23"/>
  <c r="AY65" i="5"/>
  <c r="AS121"/>
  <c r="AS74"/>
  <c r="AS81"/>
  <c r="P17" i="19"/>
  <c r="Q17" s="1"/>
  <c r="G17"/>
  <c r="AY59" i="5"/>
  <c r="P11" i="19"/>
  <c r="G11"/>
  <c r="AY53" i="5"/>
  <c r="AY64"/>
  <c r="P22" i="19"/>
  <c r="G22"/>
  <c r="AY56" i="5"/>
  <c r="P14" i="19"/>
  <c r="Q14" s="1"/>
  <c r="G14"/>
  <c r="P29"/>
  <c r="Q29" s="1"/>
  <c r="G29"/>
  <c r="H29" s="1"/>
  <c r="K29" s="1"/>
  <c r="AY71" i="5"/>
  <c r="AU78"/>
  <c r="AV78"/>
  <c r="AS78"/>
  <c r="AT78"/>
  <c r="AY85"/>
  <c r="AY46" s="1"/>
  <c r="AY119"/>
  <c r="AY80" s="1"/>
  <c r="AS113"/>
  <c r="AS122" s="1"/>
  <c r="AT113"/>
  <c r="AV113"/>
  <c r="AY118"/>
  <c r="AY79" s="1"/>
  <c r="BC39"/>
  <c r="BG41"/>
  <c r="BB40"/>
  <c r="BE40"/>
  <c r="AZ40"/>
  <c r="BE41"/>
  <c r="AZ41"/>
  <c r="BA42"/>
  <c r="BB39"/>
  <c r="BF39"/>
  <c r="BG40"/>
  <c r="AY42"/>
  <c r="BE39"/>
  <c r="AZ39"/>
  <c r="BB17"/>
  <c r="BI33"/>
  <c r="BB19"/>
  <c r="BB23"/>
  <c r="BB22"/>
  <c r="BB9"/>
  <c r="BB26"/>
  <c r="BB5"/>
  <c r="BB20"/>
  <c r="BB6"/>
  <c r="BB24"/>
  <c r="BB21"/>
  <c r="BB10"/>
  <c r="BB7"/>
  <c r="BB29"/>
  <c r="AZ21"/>
  <c r="AZ22"/>
  <c r="AZ11"/>
  <c r="AZ5"/>
  <c r="AZ29"/>
  <c r="AZ10"/>
  <c r="AZ19"/>
  <c r="AZ16"/>
  <c r="AZ6"/>
  <c r="AZ32"/>
  <c r="AZ23"/>
  <c r="AZ20"/>
  <c r="AZ13"/>
  <c r="AZ26"/>
  <c r="AZ28"/>
  <c r="AZ17"/>
  <c r="AZ14"/>
  <c r="AZ33"/>
  <c r="AZ27"/>
  <c r="AZ7"/>
  <c r="AZ12"/>
  <c r="BC33"/>
  <c r="AZ25"/>
  <c r="AZ9"/>
  <c r="AZ18"/>
  <c r="AY34"/>
  <c r="AZ15"/>
  <c r="AZ24"/>
  <c r="BB32"/>
  <c r="BB14"/>
  <c r="BB27"/>
  <c r="BB11"/>
  <c r="BB8"/>
  <c r="BB13"/>
  <c r="BB28"/>
  <c r="BB12"/>
  <c r="BB18"/>
  <c r="BB33"/>
  <c r="BB15"/>
  <c r="BB16"/>
  <c r="BB25"/>
  <c r="P13" i="9"/>
  <c r="BD23" i="5" l="1"/>
  <c r="BO35"/>
  <c r="T14" i="22"/>
  <c r="S11"/>
  <c r="S10" s="1"/>
  <c r="S45" s="1"/>
  <c r="Q23" i="19"/>
  <c r="Q38" s="1"/>
  <c r="P38"/>
  <c r="Q22"/>
  <c r="Q37" s="1"/>
  <c r="P37"/>
  <c r="Q11"/>
  <c r="Q36" s="1"/>
  <c r="P36"/>
  <c r="AT82" i="5"/>
  <c r="BB65"/>
  <c r="BB55"/>
  <c r="BB48"/>
  <c r="BB54"/>
  <c r="BB53"/>
  <c r="BB71"/>
  <c r="BB64"/>
  <c r="BB59"/>
  <c r="BB61"/>
  <c r="BB69"/>
  <c r="BB51"/>
  <c r="BB56"/>
  <c r="BB62"/>
  <c r="BK46"/>
  <c r="BL46" s="1"/>
  <c r="BB46"/>
  <c r="BB60"/>
  <c r="BB57"/>
  <c r="AU82"/>
  <c r="AV82"/>
  <c r="AV122"/>
  <c r="H17" i="19"/>
  <c r="K17" s="1"/>
  <c r="H15"/>
  <c r="K15" s="1"/>
  <c r="H6"/>
  <c r="K6" s="1"/>
  <c r="AY117" i="5"/>
  <c r="AY121" s="1"/>
  <c r="P4" i="19"/>
  <c r="P33" s="1"/>
  <c r="Q33" s="1"/>
  <c r="G4"/>
  <c r="H14"/>
  <c r="K14" s="1"/>
  <c r="H23"/>
  <c r="K23" s="1"/>
  <c r="H27"/>
  <c r="K27" s="1"/>
  <c r="H13"/>
  <c r="K13" s="1"/>
  <c r="H20"/>
  <c r="K20" s="1"/>
  <c r="H9"/>
  <c r="K9" s="1"/>
  <c r="AT122" i="5"/>
  <c r="AS82"/>
  <c r="H18" i="19"/>
  <c r="K18" s="1"/>
  <c r="H19"/>
  <c r="K19" s="1"/>
  <c r="H12"/>
  <c r="K12" s="1"/>
  <c r="H22"/>
  <c r="K22" s="1"/>
  <c r="H11"/>
  <c r="K11" s="1"/>
  <c r="BK73" i="5"/>
  <c r="BK61"/>
  <c r="BL61" s="1"/>
  <c r="BK50"/>
  <c r="BK48"/>
  <c r="BK52"/>
  <c r="BK63"/>
  <c r="BS63" s="1"/>
  <c r="BK55"/>
  <c r="BL55" s="1"/>
  <c r="BK69"/>
  <c r="BL69" s="1"/>
  <c r="BK68"/>
  <c r="BX68" s="1"/>
  <c r="BK71"/>
  <c r="BL71" s="1"/>
  <c r="BK47"/>
  <c r="BR47" s="1"/>
  <c r="BK66"/>
  <c r="BS66" s="1"/>
  <c r="BK60"/>
  <c r="BL60" s="1"/>
  <c r="BK58"/>
  <c r="CA58" s="1"/>
  <c r="BK49"/>
  <c r="BK59"/>
  <c r="BL59" s="1"/>
  <c r="BK56"/>
  <c r="BL56" s="1"/>
  <c r="BK67"/>
  <c r="BR67" s="1"/>
  <c r="BK53"/>
  <c r="BL53" s="1"/>
  <c r="BK57"/>
  <c r="BL57" s="1"/>
  <c r="BK70"/>
  <c r="BK54"/>
  <c r="BL54" s="1"/>
  <c r="BK62"/>
  <c r="BL62" s="1"/>
  <c r="BK51"/>
  <c r="BL51" s="1"/>
  <c r="AY113"/>
  <c r="BC42"/>
  <c r="BG39"/>
  <c r="BD39"/>
  <c r="BD40"/>
  <c r="BD41"/>
  <c r="AZ42"/>
  <c r="AZ43" s="1"/>
  <c r="AY43"/>
  <c r="BE42"/>
  <c r="BF42"/>
  <c r="BA43"/>
  <c r="BB42"/>
  <c r="BB43" s="1"/>
  <c r="BD12"/>
  <c r="BD5"/>
  <c r="BD6"/>
  <c r="BD19"/>
  <c r="BD25"/>
  <c r="BD26"/>
  <c r="BD11"/>
  <c r="BD21"/>
  <c r="BD22"/>
  <c r="BD28"/>
  <c r="BD9"/>
  <c r="BD10"/>
  <c r="BD16"/>
  <c r="BC34"/>
  <c r="BD27"/>
  <c r="BD17"/>
  <c r="BD7"/>
  <c r="BD18"/>
  <c r="BD8"/>
  <c r="BD24"/>
  <c r="BD33"/>
  <c r="BD15"/>
  <c r="BD13"/>
  <c r="BD29"/>
  <c r="BD14"/>
  <c r="BD32"/>
  <c r="BD20"/>
  <c r="U14" i="22" l="1"/>
  <c r="T11"/>
  <c r="T10" s="1"/>
  <c r="T45" s="1"/>
  <c r="P39" i="19"/>
  <c r="Q39" s="1"/>
  <c r="BQ69" i="5"/>
  <c r="BX57"/>
  <c r="BZ59"/>
  <c r="BS57"/>
  <c r="BC46"/>
  <c r="BC61"/>
  <c r="BC60"/>
  <c r="BL49"/>
  <c r="BC49"/>
  <c r="BT48"/>
  <c r="BL48"/>
  <c r="BL52"/>
  <c r="BC52"/>
  <c r="BR73"/>
  <c r="BL73"/>
  <c r="BC73"/>
  <c r="BL70"/>
  <c r="BC70"/>
  <c r="BL68"/>
  <c r="BC68"/>
  <c r="BC62"/>
  <c r="BC53"/>
  <c r="BS55"/>
  <c r="BY57"/>
  <c r="CB69"/>
  <c r="BY59"/>
  <c r="BY69"/>
  <c r="AY78"/>
  <c r="BC56"/>
  <c r="BC69"/>
  <c r="BC71"/>
  <c r="BC54"/>
  <c r="BL47"/>
  <c r="BC47"/>
  <c r="BL66"/>
  <c r="BC66"/>
  <c r="BL67"/>
  <c r="BC67"/>
  <c r="BL58"/>
  <c r="BC58"/>
  <c r="BL50"/>
  <c r="BC50"/>
  <c r="BC48"/>
  <c r="BC51"/>
  <c r="BX59"/>
  <c r="BT66"/>
  <c r="BC57"/>
  <c r="BC59"/>
  <c r="BC55"/>
  <c r="BL63"/>
  <c r="BC63"/>
  <c r="BR54"/>
  <c r="BV58"/>
  <c r="BY63"/>
  <c r="BK132"/>
  <c r="P32" i="19"/>
  <c r="Q4"/>
  <c r="BT62" i="5"/>
  <c r="BV49"/>
  <c r="BR55"/>
  <c r="BR52"/>
  <c r="H4" i="19"/>
  <c r="K4" s="1"/>
  <c r="K32" s="1"/>
  <c r="G32"/>
  <c r="BW51" i="5"/>
  <c r="BR57"/>
  <c r="BT59"/>
  <c r="BZ66"/>
  <c r="BZ69"/>
  <c r="BR61"/>
  <c r="AY74"/>
  <c r="AY81"/>
  <c r="BU54"/>
  <c r="BR63"/>
  <c r="BT52"/>
  <c r="BW67"/>
  <c r="BK110"/>
  <c r="S29" i="19" s="1"/>
  <c r="BV48" i="5"/>
  <c r="BR53"/>
  <c r="CA47"/>
  <c r="BZ70"/>
  <c r="BR56"/>
  <c r="BV60"/>
  <c r="BS68"/>
  <c r="BV50"/>
  <c r="BT63"/>
  <c r="CA48"/>
  <c r="CA71"/>
  <c r="CA110" s="1"/>
  <c r="BT47"/>
  <c r="BT73"/>
  <c r="BZ73"/>
  <c r="BS70"/>
  <c r="CA73"/>
  <c r="BX73"/>
  <c r="BY53"/>
  <c r="BV73"/>
  <c r="BW50"/>
  <c r="BQ73"/>
  <c r="BS51"/>
  <c r="BQ54"/>
  <c r="BY67"/>
  <c r="BQ47"/>
  <c r="BS73"/>
  <c r="BY49"/>
  <c r="CB53"/>
  <c r="CA68"/>
  <c r="BU47"/>
  <c r="BS47"/>
  <c r="BZ47"/>
  <c r="BX60"/>
  <c r="CB70"/>
  <c r="BZ53"/>
  <c r="CB56"/>
  <c r="CA70"/>
  <c r="BR60"/>
  <c r="CA60"/>
  <c r="BQ55"/>
  <c r="CB52"/>
  <c r="CB62"/>
  <c r="BW73"/>
  <c r="BW47"/>
  <c r="BR49"/>
  <c r="BU53"/>
  <c r="BZ55"/>
  <c r="BT68"/>
  <c r="BR50"/>
  <c r="BQ62"/>
  <c r="BX52"/>
  <c r="CB47"/>
  <c r="BV47"/>
  <c r="BY70"/>
  <c r="BQ49"/>
  <c r="BW56"/>
  <c r="BZ56"/>
  <c r="BX53"/>
  <c r="BY73"/>
  <c r="CB73"/>
  <c r="BU73"/>
  <c r="BR68"/>
  <c r="BY68"/>
  <c r="CA50"/>
  <c r="BZ60"/>
  <c r="CA57"/>
  <c r="BX49"/>
  <c r="BX54"/>
  <c r="BX55"/>
  <c r="BS53"/>
  <c r="BQ59"/>
  <c r="BR59"/>
  <c r="CB49"/>
  <c r="BT61"/>
  <c r="BS54"/>
  <c r="BW53"/>
  <c r="CA56"/>
  <c r="BZ54"/>
  <c r="BX70"/>
  <c r="BS69"/>
  <c r="CB63"/>
  <c r="BU68"/>
  <c r="BQ68"/>
  <c r="BX50"/>
  <c r="BY61"/>
  <c r="CA62"/>
  <c r="BU56"/>
  <c r="BZ62"/>
  <c r="BQ48"/>
  <c r="BS50"/>
  <c r="BQ52"/>
  <c r="BU51"/>
  <c r="BV51"/>
  <c r="BZ61"/>
  <c r="BY52"/>
  <c r="BY60"/>
  <c r="CA55"/>
  <c r="BT46"/>
  <c r="BY58"/>
  <c r="BR71"/>
  <c r="BR110" s="1"/>
  <c r="BQ51"/>
  <c r="CA67"/>
  <c r="BU57"/>
  <c r="BV57"/>
  <c r="BQ70"/>
  <c r="BQ66"/>
  <c r="BW60"/>
  <c r="BW59"/>
  <c r="BT56"/>
  <c r="CB54"/>
  <c r="BV56"/>
  <c r="BU49"/>
  <c r="BW61"/>
  <c r="BS49"/>
  <c r="BX66"/>
  <c r="BY55"/>
  <c r="BU55"/>
  <c r="BS58"/>
  <c r="BY62"/>
  <c r="CB48"/>
  <c r="BT70"/>
  <c r="BX63"/>
  <c r="BY56"/>
  <c r="BZ68"/>
  <c r="BU50"/>
  <c r="CA52"/>
  <c r="CA61"/>
  <c r="BZ48"/>
  <c r="CB61"/>
  <c r="BU48"/>
  <c r="BT49"/>
  <c r="CB66"/>
  <c r="AY122"/>
  <c r="AZ113"/>
  <c r="BZ71"/>
  <c r="BZ110" s="1"/>
  <c r="BS71"/>
  <c r="BS110" s="1"/>
  <c r="BY47"/>
  <c r="BX47"/>
  <c r="BQ57"/>
  <c r="BZ57"/>
  <c r="BT57"/>
  <c r="CA69"/>
  <c r="BW49"/>
  <c r="BU70"/>
  <c r="BS48"/>
  <c r="BU66"/>
  <c r="CB58"/>
  <c r="BT53"/>
  <c r="BU59"/>
  <c r="CB59"/>
  <c r="BS59"/>
  <c r="BS56"/>
  <c r="BR70"/>
  <c r="BV66"/>
  <c r="BV53"/>
  <c r="BX56"/>
  <c r="BV70"/>
  <c r="BW66"/>
  <c r="BX61"/>
  <c r="BZ49"/>
  <c r="BW54"/>
  <c r="CA53"/>
  <c r="BX69"/>
  <c r="BV63"/>
  <c r="CB55"/>
  <c r="BU69"/>
  <c r="CA63"/>
  <c r="BW55"/>
  <c r="BW70"/>
  <c r="BU58"/>
  <c r="BV68"/>
  <c r="BW69"/>
  <c r="BR48"/>
  <c r="BX58"/>
  <c r="BT60"/>
  <c r="BS62"/>
  <c r="BZ63"/>
  <c r="CB68"/>
  <c r="BW68"/>
  <c r="BV55"/>
  <c r="BW52"/>
  <c r="BR69"/>
  <c r="BW48"/>
  <c r="BV52"/>
  <c r="BZ50"/>
  <c r="BY48"/>
  <c r="BZ52"/>
  <c r="BT50"/>
  <c r="BS52"/>
  <c r="BT69"/>
  <c r="BU60"/>
  <c r="BW62"/>
  <c r="BZ51"/>
  <c r="BQ67"/>
  <c r="BV67"/>
  <c r="BZ67"/>
  <c r="BS67"/>
  <c r="BU67"/>
  <c r="CB50"/>
  <c r="BS60"/>
  <c r="BY51"/>
  <c r="BU71"/>
  <c r="BU110" s="1"/>
  <c r="CB71"/>
  <c r="CB110" s="1"/>
  <c r="BT51"/>
  <c r="CB67"/>
  <c r="CB51"/>
  <c r="BY71"/>
  <c r="BY110" s="1"/>
  <c r="BV71"/>
  <c r="BV110" s="1"/>
  <c r="BW71"/>
  <c r="BW110" s="1"/>
  <c r="CB57"/>
  <c r="BW57"/>
  <c r="CA54"/>
  <c r="BY66"/>
  <c r="CA59"/>
  <c r="BV59"/>
  <c r="BY54"/>
  <c r="BS61"/>
  <c r="BV54"/>
  <c r="BV61"/>
  <c r="CA66"/>
  <c r="BU63"/>
  <c r="BV69"/>
  <c r="BT54"/>
  <c r="BZ58"/>
  <c r="BQ60"/>
  <c r="BV62"/>
  <c r="BR66"/>
  <c r="BU61"/>
  <c r="BR58"/>
  <c r="BU62"/>
  <c r="BT55"/>
  <c r="BQ63"/>
  <c r="CA49"/>
  <c r="BR62"/>
  <c r="BQ61"/>
  <c r="BU52"/>
  <c r="BY50"/>
  <c r="BQ53"/>
  <c r="BX62"/>
  <c r="BX48"/>
  <c r="BR51"/>
  <c r="BQ58"/>
  <c r="CA51"/>
  <c r="BW63"/>
  <c r="BX51"/>
  <c r="BQ50"/>
  <c r="BT67"/>
  <c r="BX67"/>
  <c r="BQ56"/>
  <c r="BT58"/>
  <c r="CB60"/>
  <c r="BW58"/>
  <c r="BQ71"/>
  <c r="BQ110" s="1"/>
  <c r="BT71"/>
  <c r="BT110" s="1"/>
  <c r="BX71"/>
  <c r="BX110" s="1"/>
  <c r="BK64"/>
  <c r="BK65"/>
  <c r="BG42"/>
  <c r="BD42"/>
  <c r="BD43" s="1"/>
  <c r="BC43"/>
  <c r="V14" i="22" l="1"/>
  <c r="U11"/>
  <c r="U10" s="1"/>
  <c r="U45" s="1"/>
  <c r="CD110" i="5"/>
  <c r="BL64"/>
  <c r="BC64"/>
  <c r="AY82"/>
  <c r="BL65"/>
  <c r="BC65"/>
  <c r="K33" i="19"/>
  <c r="BZ64" i="5"/>
  <c r="BK133"/>
  <c r="T29" i="19"/>
  <c r="W29" s="1"/>
  <c r="G34"/>
  <c r="H32"/>
  <c r="Q32"/>
  <c r="P34"/>
  <c r="CA46" i="5"/>
  <c r="BS46"/>
  <c r="BR46"/>
  <c r="BW46"/>
  <c r="BZ46"/>
  <c r="BU46"/>
  <c r="BQ46"/>
  <c r="BY46"/>
  <c r="CB46"/>
  <c r="BX46"/>
  <c r="BV46"/>
  <c r="BP110"/>
  <c r="BU64"/>
  <c r="BR64"/>
  <c r="BW64"/>
  <c r="BX64"/>
  <c r="CA64"/>
  <c r="BS64"/>
  <c r="CB64"/>
  <c r="BV64"/>
  <c r="BY64"/>
  <c r="BT64"/>
  <c r="BQ64"/>
  <c r="BZ65"/>
  <c r="CA65"/>
  <c r="CB65"/>
  <c r="BY65"/>
  <c r="BQ65"/>
  <c r="BU65"/>
  <c r="BR65"/>
  <c r="BS65"/>
  <c r="BT65"/>
  <c r="BV65"/>
  <c r="BW65"/>
  <c r="BX65"/>
  <c r="W14" i="22" l="1"/>
  <c r="V11"/>
  <c r="V10" s="1"/>
  <c r="V45" s="1"/>
  <c r="I24" i="19"/>
  <c r="I16"/>
  <c r="I8"/>
  <c r="I19"/>
  <c r="I30"/>
  <c r="I22"/>
  <c r="I14"/>
  <c r="I6"/>
  <c r="I29"/>
  <c r="J18"/>
  <c r="I9"/>
  <c r="J24"/>
  <c r="J30"/>
  <c r="J14"/>
  <c r="I20"/>
  <c r="I4"/>
  <c r="I27"/>
  <c r="I18"/>
  <c r="I25"/>
  <c r="V30"/>
  <c r="J22"/>
  <c r="J29"/>
  <c r="J13"/>
  <c r="I31"/>
  <c r="J19"/>
  <c r="U30"/>
  <c r="J26"/>
  <c r="I5"/>
  <c r="J6"/>
  <c r="J20"/>
  <c r="J25"/>
  <c r="J17"/>
  <c r="J9"/>
  <c r="I23"/>
  <c r="I7"/>
  <c r="J31"/>
  <c r="J23"/>
  <c r="J15"/>
  <c r="J7"/>
  <c r="I21"/>
  <c r="J10"/>
  <c r="U29"/>
  <c r="J16"/>
  <c r="J28"/>
  <c r="J4"/>
  <c r="I28"/>
  <c r="I12"/>
  <c r="I11"/>
  <c r="I26"/>
  <c r="I10"/>
  <c r="I13"/>
  <c r="J12"/>
  <c r="J21"/>
  <c r="J5"/>
  <c r="I15"/>
  <c r="J27"/>
  <c r="J11"/>
  <c r="I17"/>
  <c r="J8"/>
  <c r="V29"/>
  <c r="BG32" i="5"/>
  <c r="BF32"/>
  <c r="BE32"/>
  <c r="BK32" s="1"/>
  <c r="BG29"/>
  <c r="BF29"/>
  <c r="BE29"/>
  <c r="BK29" s="1"/>
  <c r="BG28"/>
  <c r="BF28"/>
  <c r="BE28"/>
  <c r="BK28" s="1"/>
  <c r="BG27"/>
  <c r="BF27"/>
  <c r="BE27"/>
  <c r="BK27" s="1"/>
  <c r="BG26"/>
  <c r="BF26"/>
  <c r="BE26"/>
  <c r="BK26" s="1"/>
  <c r="BG25"/>
  <c r="BF25"/>
  <c r="BE25"/>
  <c r="BK25" s="1"/>
  <c r="BG24"/>
  <c r="BF24"/>
  <c r="BE24"/>
  <c r="BK24" s="1"/>
  <c r="CD24" s="1"/>
  <c r="BG23"/>
  <c r="BF23"/>
  <c r="BE23"/>
  <c r="BK23" s="1"/>
  <c r="BG22"/>
  <c r="BF22"/>
  <c r="BE22"/>
  <c r="BK22" s="1"/>
  <c r="BG21"/>
  <c r="BF21"/>
  <c r="BE21"/>
  <c r="BK21" s="1"/>
  <c r="BG20"/>
  <c r="BF20"/>
  <c r="BE20"/>
  <c r="BK20" s="1"/>
  <c r="BG19"/>
  <c r="BF19"/>
  <c r="BE19"/>
  <c r="BK19" s="1"/>
  <c r="BG18"/>
  <c r="BF18"/>
  <c r="BE18"/>
  <c r="BK18" s="1"/>
  <c r="BG17"/>
  <c r="BF17"/>
  <c r="BE17"/>
  <c r="BK17" s="1"/>
  <c r="BG16"/>
  <c r="BF16"/>
  <c r="BE16"/>
  <c r="BK16" s="1"/>
  <c r="BG15"/>
  <c r="BF15"/>
  <c r="BE15"/>
  <c r="BK15" s="1"/>
  <c r="BG14"/>
  <c r="BF14"/>
  <c r="BE14"/>
  <c r="BK14" s="1"/>
  <c r="BG13"/>
  <c r="BF13"/>
  <c r="BE13"/>
  <c r="BK13" s="1"/>
  <c r="BG12"/>
  <c r="BF12"/>
  <c r="BE12"/>
  <c r="BG11"/>
  <c r="BF11"/>
  <c r="BE11"/>
  <c r="BK11" s="1"/>
  <c r="BG10"/>
  <c r="BF10"/>
  <c r="BE10"/>
  <c r="BK10" s="1"/>
  <c r="BG9"/>
  <c r="BF9"/>
  <c r="BE9"/>
  <c r="BK9" s="1"/>
  <c r="BG8"/>
  <c r="BF8"/>
  <c r="BE8"/>
  <c r="BK8" s="1"/>
  <c r="BG7"/>
  <c r="BG6"/>
  <c r="BG5"/>
  <c r="BF7"/>
  <c r="BF6"/>
  <c r="BF5"/>
  <c r="BE7"/>
  <c r="BK7" s="1"/>
  <c r="BE6"/>
  <c r="BK6" s="1"/>
  <c r="BE5"/>
  <c r="BK5" s="1"/>
  <c r="R32"/>
  <c r="Q32"/>
  <c r="P32"/>
  <c r="R29"/>
  <c r="Q29"/>
  <c r="P29"/>
  <c r="R28"/>
  <c r="Q28"/>
  <c r="P28"/>
  <c r="R27"/>
  <c r="Q27"/>
  <c r="P27"/>
  <c r="R26"/>
  <c r="Q26"/>
  <c r="P26"/>
  <c r="R25"/>
  <c r="Q25"/>
  <c r="P25"/>
  <c r="R24"/>
  <c r="Q24"/>
  <c r="P24"/>
  <c r="R23"/>
  <c r="Q23"/>
  <c r="P23"/>
  <c r="R22"/>
  <c r="Q22"/>
  <c r="P22"/>
  <c r="R21"/>
  <c r="Q21"/>
  <c r="P21"/>
  <c r="R20"/>
  <c r="Q20"/>
  <c r="P20"/>
  <c r="R19"/>
  <c r="Q19"/>
  <c r="P19"/>
  <c r="R18"/>
  <c r="Q18"/>
  <c r="P18"/>
  <c r="R17"/>
  <c r="Q17"/>
  <c r="P17"/>
  <c r="R16"/>
  <c r="Q16"/>
  <c r="P16"/>
  <c r="R15"/>
  <c r="Q15"/>
  <c r="P15"/>
  <c r="R14"/>
  <c r="Q14"/>
  <c r="P14"/>
  <c r="R13"/>
  <c r="Q13"/>
  <c r="P13"/>
  <c r="R12"/>
  <c r="Q12"/>
  <c r="P12"/>
  <c r="R11"/>
  <c r="Q11"/>
  <c r="P11"/>
  <c r="R10"/>
  <c r="Q10"/>
  <c r="P10"/>
  <c r="R9"/>
  <c r="Q9"/>
  <c r="P9"/>
  <c r="R8"/>
  <c r="Q8"/>
  <c r="P8"/>
  <c r="R7"/>
  <c r="Q7"/>
  <c r="P7"/>
  <c r="R6"/>
  <c r="Q6"/>
  <c r="P6"/>
  <c r="R5"/>
  <c r="Q5"/>
  <c r="P5"/>
  <c r="CD19" l="1"/>
  <c r="R18" i="19"/>
  <c r="BK99" i="5"/>
  <c r="S18" i="19" s="1"/>
  <c r="CD14" i="5"/>
  <c r="R13" i="19"/>
  <c r="BK94" i="5"/>
  <c r="S13" i="19" s="1"/>
  <c r="BY22" i="5"/>
  <c r="BY102" s="1"/>
  <c r="BQ22"/>
  <c r="BX22"/>
  <c r="BU22"/>
  <c r="BR22"/>
  <c r="BW22"/>
  <c r="CD22"/>
  <c r="BV22"/>
  <c r="CB22"/>
  <c r="BT22"/>
  <c r="CA22"/>
  <c r="BS22"/>
  <c r="BZ22"/>
  <c r="CD9"/>
  <c r="R8" i="19"/>
  <c r="BK89" i="5"/>
  <c r="S8" i="19" s="1"/>
  <c r="CD17" i="5"/>
  <c r="R16" i="19"/>
  <c r="BK97" i="5"/>
  <c r="S16" i="19" s="1"/>
  <c r="CD25" i="5"/>
  <c r="R24" i="19"/>
  <c r="BK105" i="5"/>
  <c r="S24" i="19" s="1"/>
  <c r="CD20" i="5"/>
  <c r="R19" i="19"/>
  <c r="BK100" i="5"/>
  <c r="S19" i="19" s="1"/>
  <c r="CD28" i="5"/>
  <c r="R27" i="19"/>
  <c r="BK108" i="5"/>
  <c r="S27" i="19" s="1"/>
  <c r="CD11" i="5"/>
  <c r="R10" i="19"/>
  <c r="BK91" i="5"/>
  <c r="S10" i="19" s="1"/>
  <c r="CD23" i="5"/>
  <c r="BK128"/>
  <c r="BK136" s="1"/>
  <c r="BK146" s="1"/>
  <c r="CD44" s="1"/>
  <c r="R22" i="19"/>
  <c r="BK103" i="5"/>
  <c r="CD10"/>
  <c r="R9" i="19"/>
  <c r="BK90" i="5"/>
  <c r="S9" i="19" s="1"/>
  <c r="CD18" i="5"/>
  <c r="R17" i="19"/>
  <c r="BK98" i="5"/>
  <c r="S17" i="19" s="1"/>
  <c r="CD26" i="5"/>
  <c r="R25" i="19"/>
  <c r="BK106" i="5"/>
  <c r="S25" i="19" s="1"/>
  <c r="CD7" i="5"/>
  <c r="R6" i="19"/>
  <c r="BK87" i="5"/>
  <c r="S6" i="19" s="1"/>
  <c r="CD5" i="5"/>
  <c r="R4" i="19"/>
  <c r="CD13" i="5"/>
  <c r="R12" i="19"/>
  <c r="BK93" i="5"/>
  <c r="S12" i="19" s="1"/>
  <c r="CD21" i="5"/>
  <c r="R20" i="19"/>
  <c r="BK101" i="5"/>
  <c r="S20" i="19" s="1"/>
  <c r="CD29" i="5"/>
  <c r="R28" i="19"/>
  <c r="BK109" i="5"/>
  <c r="S28" i="19" s="1"/>
  <c r="CD27" i="5"/>
  <c r="R26" i="19"/>
  <c r="BK107" i="5"/>
  <c r="S26" i="19" s="1"/>
  <c r="CD15" i="5"/>
  <c r="R14" i="19"/>
  <c r="BK95" i="5"/>
  <c r="S14" i="19" s="1"/>
  <c r="CD6" i="5"/>
  <c r="R5" i="19"/>
  <c r="BK86" i="5"/>
  <c r="S5" i="19" s="1"/>
  <c r="CD8" i="5"/>
  <c r="R7" i="19"/>
  <c r="BK88" i="5"/>
  <c r="S7" i="19" s="1"/>
  <c r="CD16" i="5"/>
  <c r="R15" i="19"/>
  <c r="BK96" i="5"/>
  <c r="S15" i="19" s="1"/>
  <c r="X14" i="22"/>
  <c r="W11"/>
  <c r="W10" s="1"/>
  <c r="W45" s="1"/>
  <c r="L18" i="19"/>
  <c r="L26"/>
  <c r="X30"/>
  <c r="CD32" i="5"/>
  <c r="R31" i="19"/>
  <c r="L10"/>
  <c r="L20"/>
  <c r="M41" i="24"/>
  <c r="L17" i="19"/>
  <c r="CD12" i="5"/>
  <c r="R11" i="19"/>
  <c r="BK92" i="5"/>
  <c r="S11" i="19" s="1"/>
  <c r="S36" s="1"/>
  <c r="L15"/>
  <c r="R21"/>
  <c r="BK102" i="5"/>
  <c r="S21" i="19" s="1"/>
  <c r="L30"/>
  <c r="L16"/>
  <c r="L13"/>
  <c r="L5"/>
  <c r="L9"/>
  <c r="L6"/>
  <c r="L24"/>
  <c r="I32"/>
  <c r="L4"/>
  <c r="L23"/>
  <c r="L11"/>
  <c r="L28"/>
  <c r="L7"/>
  <c r="L25"/>
  <c r="L27"/>
  <c r="L29"/>
  <c r="L22"/>
  <c r="L19"/>
  <c r="L8"/>
  <c r="J32"/>
  <c r="J33" s="1"/>
  <c r="L21"/>
  <c r="L12"/>
  <c r="X29"/>
  <c r="L31"/>
  <c r="L14"/>
  <c r="BK129" i="5"/>
  <c r="BK137" s="1"/>
  <c r="BK104"/>
  <c r="R23" i="19"/>
  <c r="R38" s="1"/>
  <c r="BY13" i="5"/>
  <c r="BY93" s="1"/>
  <c r="BV13"/>
  <c r="BV93" s="1"/>
  <c r="BS13"/>
  <c r="BS93" s="1"/>
  <c r="BZ13"/>
  <c r="BW13"/>
  <c r="BT13"/>
  <c r="BQ13"/>
  <c r="CA13"/>
  <c r="CA93" s="1"/>
  <c r="BX13"/>
  <c r="BU13"/>
  <c r="BU93" s="1"/>
  <c r="BR13"/>
  <c r="BR93" s="1"/>
  <c r="CB13"/>
  <c r="BM13"/>
  <c r="BY11"/>
  <c r="BY91" s="1"/>
  <c r="BS11"/>
  <c r="BS91" s="1"/>
  <c r="BZ11"/>
  <c r="BW11"/>
  <c r="BT11"/>
  <c r="BQ11"/>
  <c r="CA11"/>
  <c r="CA91" s="1"/>
  <c r="BX11"/>
  <c r="BU11"/>
  <c r="BU91" s="1"/>
  <c r="BR11"/>
  <c r="BR91" s="1"/>
  <c r="CB11"/>
  <c r="BV11"/>
  <c r="BV91" s="1"/>
  <c r="BM11"/>
  <c r="BV6"/>
  <c r="BV86" s="1"/>
  <c r="BZ6"/>
  <c r="BT6"/>
  <c r="BQ6"/>
  <c r="CA6"/>
  <c r="CA86" s="1"/>
  <c r="BX6"/>
  <c r="BU6"/>
  <c r="BU86" s="1"/>
  <c r="BR6"/>
  <c r="BR86" s="1"/>
  <c r="CB6"/>
  <c r="BY6"/>
  <c r="BY86" s="1"/>
  <c r="BS6"/>
  <c r="BS86" s="1"/>
  <c r="BW6"/>
  <c r="BM6"/>
  <c r="CB8"/>
  <c r="BS8"/>
  <c r="BS88" s="1"/>
  <c r="BZ8"/>
  <c r="BW8"/>
  <c r="BT8"/>
  <c r="BV8"/>
  <c r="BV88" s="1"/>
  <c r="BQ8"/>
  <c r="CA8"/>
  <c r="CA88" s="1"/>
  <c r="BX8"/>
  <c r="BU8"/>
  <c r="BU88" s="1"/>
  <c r="BR8"/>
  <c r="BR88" s="1"/>
  <c r="BY8"/>
  <c r="BY88" s="1"/>
  <c r="BM8"/>
  <c r="CA12"/>
  <c r="CA92" s="1"/>
  <c r="BT12"/>
  <c r="BZ12"/>
  <c r="BS12"/>
  <c r="BS92" s="1"/>
  <c r="BM12"/>
  <c r="BR12"/>
  <c r="BR92" s="1"/>
  <c r="BV12"/>
  <c r="BV92" s="1"/>
  <c r="BX12"/>
  <c r="BQ12"/>
  <c r="BU12"/>
  <c r="BU92" s="1"/>
  <c r="BW12"/>
  <c r="CB12"/>
  <c r="BY12"/>
  <c r="BY92" s="1"/>
  <c r="BV16"/>
  <c r="BV96" s="1"/>
  <c r="BW16"/>
  <c r="BT16"/>
  <c r="BQ16"/>
  <c r="CA16"/>
  <c r="CA96" s="1"/>
  <c r="BX16"/>
  <c r="BZ16"/>
  <c r="BU16"/>
  <c r="BU96" s="1"/>
  <c r="BR16"/>
  <c r="BR96" s="1"/>
  <c r="CB16"/>
  <c r="BY16"/>
  <c r="BY96" s="1"/>
  <c r="BS16"/>
  <c r="BS96" s="1"/>
  <c r="BM16"/>
  <c r="BY20"/>
  <c r="BY100" s="1"/>
  <c r="BS20"/>
  <c r="BS100" s="1"/>
  <c r="BT20"/>
  <c r="BQ20"/>
  <c r="CA20"/>
  <c r="CA100" s="1"/>
  <c r="BX20"/>
  <c r="BW20"/>
  <c r="BU20"/>
  <c r="BU100" s="1"/>
  <c r="BR20"/>
  <c r="BR100" s="1"/>
  <c r="CB20"/>
  <c r="BV20"/>
  <c r="BV100" s="1"/>
  <c r="BZ20"/>
  <c r="BM20"/>
  <c r="BK41"/>
  <c r="BS24"/>
  <c r="BT24"/>
  <c r="BQ24"/>
  <c r="CA24"/>
  <c r="BX24"/>
  <c r="BW24"/>
  <c r="BU24"/>
  <c r="BR24"/>
  <c r="CB24"/>
  <c r="BY24"/>
  <c r="BV24"/>
  <c r="BZ24"/>
  <c r="BM24"/>
  <c r="CE24" s="1"/>
  <c r="BS28"/>
  <c r="BS108" s="1"/>
  <c r="BZ28"/>
  <c r="BQ28"/>
  <c r="CA28"/>
  <c r="CA108" s="1"/>
  <c r="BX28"/>
  <c r="BT28"/>
  <c r="BU28"/>
  <c r="BU108" s="1"/>
  <c r="BR28"/>
  <c r="BR108" s="1"/>
  <c r="CB28"/>
  <c r="BY28"/>
  <c r="BY108" s="1"/>
  <c r="BV28"/>
  <c r="BV108" s="1"/>
  <c r="BM28"/>
  <c r="BW28"/>
  <c r="BU21"/>
  <c r="BU101" s="1"/>
  <c r="CB21"/>
  <c r="BV21"/>
  <c r="BV101" s="1"/>
  <c r="BZ21"/>
  <c r="BW21"/>
  <c r="BT21"/>
  <c r="BY21"/>
  <c r="BY101" s="1"/>
  <c r="BQ21"/>
  <c r="CA21"/>
  <c r="CA101" s="1"/>
  <c r="BX21"/>
  <c r="BR21"/>
  <c r="BR101" s="1"/>
  <c r="BS21"/>
  <c r="BS101" s="1"/>
  <c r="BM21"/>
  <c r="BY25"/>
  <c r="BY105" s="1"/>
  <c r="BV25"/>
  <c r="BV105" s="1"/>
  <c r="BS25"/>
  <c r="BS105" s="1"/>
  <c r="BZ25"/>
  <c r="BW25"/>
  <c r="BT25"/>
  <c r="BQ25"/>
  <c r="CA25"/>
  <c r="CA105" s="1"/>
  <c r="BX25"/>
  <c r="BU25"/>
  <c r="BU105" s="1"/>
  <c r="BR25"/>
  <c r="BR105" s="1"/>
  <c r="CB25"/>
  <c r="BM25"/>
  <c r="CB29"/>
  <c r="BV29"/>
  <c r="BV109" s="1"/>
  <c r="BS29"/>
  <c r="BS109" s="1"/>
  <c r="BZ29"/>
  <c r="BW29"/>
  <c r="BT29"/>
  <c r="BY29"/>
  <c r="BY109" s="1"/>
  <c r="BQ29"/>
  <c r="CA29"/>
  <c r="CA109" s="1"/>
  <c r="BX29"/>
  <c r="BU29"/>
  <c r="BU109" s="1"/>
  <c r="BR29"/>
  <c r="BR109" s="1"/>
  <c r="BM29"/>
  <c r="BQ9"/>
  <c r="BX9"/>
  <c r="BR9"/>
  <c r="BR89" s="1"/>
  <c r="CB9"/>
  <c r="BY9"/>
  <c r="BY89" s="1"/>
  <c r="BV9"/>
  <c r="BV89" s="1"/>
  <c r="BS9"/>
  <c r="BS89" s="1"/>
  <c r="BU9"/>
  <c r="BU89" s="1"/>
  <c r="BZ9"/>
  <c r="BW9"/>
  <c r="BT9"/>
  <c r="CA9"/>
  <c r="CA89" s="1"/>
  <c r="BM9"/>
  <c r="BU17"/>
  <c r="BU97" s="1"/>
  <c r="BV17"/>
  <c r="BV97" s="1"/>
  <c r="BS17"/>
  <c r="BS97" s="1"/>
  <c r="BZ17"/>
  <c r="BW17"/>
  <c r="BT17"/>
  <c r="BY17"/>
  <c r="BY97" s="1"/>
  <c r="BQ17"/>
  <c r="CA17"/>
  <c r="CA97" s="1"/>
  <c r="BX17"/>
  <c r="BR17"/>
  <c r="BR97" s="1"/>
  <c r="CB17"/>
  <c r="BM17"/>
  <c r="BY10"/>
  <c r="BY90" s="1"/>
  <c r="BW10"/>
  <c r="BX10"/>
  <c r="CA10"/>
  <c r="CA90" s="1"/>
  <c r="BQ10"/>
  <c r="BM10"/>
  <c r="CB10"/>
  <c r="BU10"/>
  <c r="BU90" s="1"/>
  <c r="BR10"/>
  <c r="BR90" s="1"/>
  <c r="BS10"/>
  <c r="BS90" s="1"/>
  <c r="BV10"/>
  <c r="BV90" s="1"/>
  <c r="BT10"/>
  <c r="BZ10"/>
  <c r="BW14"/>
  <c r="CA14"/>
  <c r="CA94" s="1"/>
  <c r="BU14"/>
  <c r="BU94" s="1"/>
  <c r="BR14"/>
  <c r="BR94" s="1"/>
  <c r="CB14"/>
  <c r="BY14"/>
  <c r="BY94" s="1"/>
  <c r="BV14"/>
  <c r="BV94" s="1"/>
  <c r="BS14"/>
  <c r="BS94" s="1"/>
  <c r="BZ14"/>
  <c r="BT14"/>
  <c r="BQ14"/>
  <c r="BX14"/>
  <c r="BM14"/>
  <c r="BZ18"/>
  <c r="CA18"/>
  <c r="CA98" s="1"/>
  <c r="BU18"/>
  <c r="BU98" s="1"/>
  <c r="BR18"/>
  <c r="BR98" s="1"/>
  <c r="CB18"/>
  <c r="BQ18"/>
  <c r="BY18"/>
  <c r="BY98" s="1"/>
  <c r="BV18"/>
  <c r="BV98" s="1"/>
  <c r="BS18"/>
  <c r="BS98" s="1"/>
  <c r="BW18"/>
  <c r="BT18"/>
  <c r="BX18"/>
  <c r="BM18"/>
  <c r="CA102"/>
  <c r="BU102"/>
  <c r="BR102"/>
  <c r="BV102"/>
  <c r="BS102"/>
  <c r="BM22"/>
  <c r="BZ26"/>
  <c r="BT26"/>
  <c r="CA26"/>
  <c r="CA106" s="1"/>
  <c r="BU26"/>
  <c r="BU106" s="1"/>
  <c r="BR26"/>
  <c r="BR106" s="1"/>
  <c r="CB26"/>
  <c r="BQ26"/>
  <c r="BY26"/>
  <c r="BY106" s="1"/>
  <c r="BV26"/>
  <c r="BV106" s="1"/>
  <c r="BS26"/>
  <c r="BS106" s="1"/>
  <c r="BW26"/>
  <c r="BX26"/>
  <c r="BM26"/>
  <c r="BW32"/>
  <c r="CB32"/>
  <c r="BQ32"/>
  <c r="BU32"/>
  <c r="BR32"/>
  <c r="BM32"/>
  <c r="CA32"/>
  <c r="BY32"/>
  <c r="BV32"/>
  <c r="BS32"/>
  <c r="BT32"/>
  <c r="BZ32"/>
  <c r="BX32"/>
  <c r="BK39"/>
  <c r="BK85"/>
  <c r="BR5"/>
  <c r="BV5"/>
  <c r="BY5"/>
  <c r="BZ5"/>
  <c r="BW5"/>
  <c r="BT5"/>
  <c r="BU5"/>
  <c r="BM5"/>
  <c r="CE5" s="1"/>
  <c r="CA5"/>
  <c r="BX5"/>
  <c r="BQ5"/>
  <c r="CB5"/>
  <c r="BS5"/>
  <c r="BY7"/>
  <c r="BY87" s="1"/>
  <c r="BV7"/>
  <c r="BV87" s="1"/>
  <c r="BZ7"/>
  <c r="BW7"/>
  <c r="BT7"/>
  <c r="BQ7"/>
  <c r="CA7"/>
  <c r="CA87" s="1"/>
  <c r="BX7"/>
  <c r="BU7"/>
  <c r="BU87" s="1"/>
  <c r="BR7"/>
  <c r="BR87" s="1"/>
  <c r="CB7"/>
  <c r="BS7"/>
  <c r="BS87" s="1"/>
  <c r="BM7"/>
  <c r="BV15"/>
  <c r="BV95" s="1"/>
  <c r="BZ15"/>
  <c r="BT15"/>
  <c r="BQ15"/>
  <c r="CA15"/>
  <c r="CA95" s="1"/>
  <c r="BX15"/>
  <c r="BU15"/>
  <c r="BU95" s="1"/>
  <c r="BR15"/>
  <c r="BR95" s="1"/>
  <c r="CB15"/>
  <c r="BY15"/>
  <c r="BY95" s="1"/>
  <c r="BS15"/>
  <c r="BS95" s="1"/>
  <c r="BW15"/>
  <c r="BM15"/>
  <c r="BY19"/>
  <c r="BY99" s="1"/>
  <c r="BS19"/>
  <c r="BS99" s="1"/>
  <c r="BW19"/>
  <c r="BZ19"/>
  <c r="BT19"/>
  <c r="BQ19"/>
  <c r="CA19"/>
  <c r="CA99" s="1"/>
  <c r="BX19"/>
  <c r="BU19"/>
  <c r="BU99" s="1"/>
  <c r="BR19"/>
  <c r="BR99" s="1"/>
  <c r="CB19"/>
  <c r="BV19"/>
  <c r="BV99" s="1"/>
  <c r="BM19"/>
  <c r="BK40"/>
  <c r="BS23"/>
  <c r="BW23"/>
  <c r="BT23"/>
  <c r="BQ23"/>
  <c r="CA23"/>
  <c r="BX23"/>
  <c r="BZ23"/>
  <c r="BU23"/>
  <c r="BR23"/>
  <c r="CB23"/>
  <c r="BY23"/>
  <c r="BV23"/>
  <c r="BM23"/>
  <c r="CE23" s="1"/>
  <c r="BV27"/>
  <c r="BV107" s="1"/>
  <c r="BW27"/>
  <c r="BQ27"/>
  <c r="CA27"/>
  <c r="CA107" s="1"/>
  <c r="BX27"/>
  <c r="BU27"/>
  <c r="BU107" s="1"/>
  <c r="BR27"/>
  <c r="BR107" s="1"/>
  <c r="CB27"/>
  <c r="BY27"/>
  <c r="BY107" s="1"/>
  <c r="BS27"/>
  <c r="BS107" s="1"/>
  <c r="BZ27"/>
  <c r="BT27"/>
  <c r="BM27"/>
  <c r="D33"/>
  <c r="BK33"/>
  <c r="S33"/>
  <c r="C34" i="19" s="1"/>
  <c r="CM32" i="5" l="1"/>
  <c r="CM15"/>
  <c r="CJ24"/>
  <c r="CM9"/>
  <c r="CL5"/>
  <c r="CM20"/>
  <c r="CK5"/>
  <c r="CM17"/>
  <c r="CM26"/>
  <c r="T15" i="19"/>
  <c r="W15" s="1"/>
  <c r="T26"/>
  <c r="W26" s="1"/>
  <c r="T17"/>
  <c r="W17" s="1"/>
  <c r="T19"/>
  <c r="W19" s="1"/>
  <c r="T18"/>
  <c r="W18" s="1"/>
  <c r="T7"/>
  <c r="W7" s="1"/>
  <c r="T28"/>
  <c r="W28" s="1"/>
  <c r="T9"/>
  <c r="W9" s="1"/>
  <c r="T24"/>
  <c r="W24" s="1"/>
  <c r="T14"/>
  <c r="W14" s="1"/>
  <c r="T12"/>
  <c r="W12" s="1"/>
  <c r="T25"/>
  <c r="W25" s="1"/>
  <c r="T8"/>
  <c r="W8" s="1"/>
  <c r="T13"/>
  <c r="W13" s="1"/>
  <c r="BQ89" i="5"/>
  <c r="CJ9"/>
  <c r="BT109"/>
  <c r="CK29"/>
  <c r="BQ101"/>
  <c r="CJ21"/>
  <c r="BW108"/>
  <c r="CL28"/>
  <c r="CK24"/>
  <c r="BO16"/>
  <c r="CF16" s="1"/>
  <c r="CE16"/>
  <c r="BQ88"/>
  <c r="CJ8"/>
  <c r="BW86"/>
  <c r="CL6"/>
  <c r="BQ86"/>
  <c r="CJ6"/>
  <c r="BT93"/>
  <c r="CK13"/>
  <c r="U28" i="19"/>
  <c r="V28"/>
  <c r="V4"/>
  <c r="U4"/>
  <c r="BT95" i="5"/>
  <c r="CK15"/>
  <c r="BO18"/>
  <c r="CF18" s="1"/>
  <c r="CE18"/>
  <c r="BW107"/>
  <c r="CL27"/>
  <c r="CM23"/>
  <c r="BO19"/>
  <c r="CF19" s="1"/>
  <c r="CE19"/>
  <c r="BT99"/>
  <c r="CK19"/>
  <c r="CM5"/>
  <c r="BO22"/>
  <c r="CF22" s="1"/>
  <c r="CE22"/>
  <c r="CM14"/>
  <c r="BW94"/>
  <c r="CL14"/>
  <c r="BO10"/>
  <c r="CF10" s="1"/>
  <c r="CE10"/>
  <c r="BO29"/>
  <c r="CF29" s="1"/>
  <c r="CE29"/>
  <c r="BW109"/>
  <c r="CL29"/>
  <c r="BO28"/>
  <c r="CF28" s="1"/>
  <c r="CE28"/>
  <c r="BW100"/>
  <c r="CL20"/>
  <c r="BQ96"/>
  <c r="CJ16"/>
  <c r="BT86"/>
  <c r="CK6"/>
  <c r="BO13"/>
  <c r="CF13" s="1"/>
  <c r="CE13"/>
  <c r="BW93"/>
  <c r="CL13"/>
  <c r="U15" i="19"/>
  <c r="V15"/>
  <c r="U17"/>
  <c r="V17"/>
  <c r="U19"/>
  <c r="V19"/>
  <c r="BQ95" i="5"/>
  <c r="CJ15"/>
  <c r="BT106"/>
  <c r="CK26"/>
  <c r="BO17"/>
  <c r="CF17" s="1"/>
  <c r="CE17"/>
  <c r="CM25"/>
  <c r="BT108"/>
  <c r="CK28"/>
  <c r="BO6"/>
  <c r="CF6" s="1"/>
  <c r="CE6"/>
  <c r="U5" i="19"/>
  <c r="V5"/>
  <c r="BQ99" i="5"/>
  <c r="CJ19"/>
  <c r="BT94"/>
  <c r="CK14"/>
  <c r="CM19"/>
  <c r="BQ87"/>
  <c r="CJ7"/>
  <c r="CJ5"/>
  <c r="CN5" s="1"/>
  <c r="BQ106"/>
  <c r="CJ26"/>
  <c r="BT98"/>
  <c r="CK18"/>
  <c r="CM10"/>
  <c r="BQ90"/>
  <c r="CJ10"/>
  <c r="CM29"/>
  <c r="BT101"/>
  <c r="CK21"/>
  <c r="BQ108"/>
  <c r="CJ28"/>
  <c r="BT96"/>
  <c r="CK16"/>
  <c r="BO8"/>
  <c r="CF8" s="1"/>
  <c r="CE8"/>
  <c r="BT88"/>
  <c r="CK8"/>
  <c r="CM6"/>
  <c r="CM13"/>
  <c r="V14" i="19"/>
  <c r="U14"/>
  <c r="T20"/>
  <c r="W20" s="1"/>
  <c r="T6"/>
  <c r="W6" s="1"/>
  <c r="T10"/>
  <c r="W10" s="1"/>
  <c r="U8"/>
  <c r="V8"/>
  <c r="U13"/>
  <c r="V13"/>
  <c r="BQ98" i="5"/>
  <c r="CJ18"/>
  <c r="BW97"/>
  <c r="CL17"/>
  <c r="R37" i="19"/>
  <c r="U22"/>
  <c r="V22"/>
  <c r="CM27" i="5"/>
  <c r="BW99"/>
  <c r="CL19"/>
  <c r="BO7"/>
  <c r="CF7" s="1"/>
  <c r="CE7"/>
  <c r="BT87"/>
  <c r="CK7"/>
  <c r="BW98"/>
  <c r="CL18"/>
  <c r="BT90"/>
  <c r="CK10"/>
  <c r="BO21"/>
  <c r="CF21" s="1"/>
  <c r="CE21"/>
  <c r="BW101"/>
  <c r="CL21"/>
  <c r="CM28"/>
  <c r="BO20"/>
  <c r="CF20" s="1"/>
  <c r="CE20"/>
  <c r="BW96"/>
  <c r="CL16"/>
  <c r="BW88"/>
  <c r="CL8"/>
  <c r="BQ91"/>
  <c r="CJ11"/>
  <c r="V20" i="19"/>
  <c r="U20"/>
  <c r="V6"/>
  <c r="U6"/>
  <c r="V10"/>
  <c r="U10"/>
  <c r="BT107" i="5"/>
  <c r="CK27"/>
  <c r="BW95"/>
  <c r="CL15"/>
  <c r="BW89"/>
  <c r="CL9"/>
  <c r="BQ107"/>
  <c r="CJ27"/>
  <c r="CJ23"/>
  <c r="BW87"/>
  <c r="CL7"/>
  <c r="CM18"/>
  <c r="BQ97"/>
  <c r="CJ17"/>
  <c r="BO9"/>
  <c r="CF9" s="1"/>
  <c r="CE9"/>
  <c r="BQ105"/>
  <c r="CJ25"/>
  <c r="CM21"/>
  <c r="CL24"/>
  <c r="BQ100"/>
  <c r="CJ20"/>
  <c r="CN20" s="1"/>
  <c r="CM8"/>
  <c r="BO11"/>
  <c r="CF11" s="1"/>
  <c r="CE11"/>
  <c r="BT91"/>
  <c r="CK11"/>
  <c r="U7" i="19"/>
  <c r="V7"/>
  <c r="U9"/>
  <c r="V9"/>
  <c r="V24"/>
  <c r="U24"/>
  <c r="BQ94" i="5"/>
  <c r="CJ14"/>
  <c r="CN14" s="1"/>
  <c r="U16" i="19"/>
  <c r="V16"/>
  <c r="CK23" i="5"/>
  <c r="CM7"/>
  <c r="BO14"/>
  <c r="CF14" s="1"/>
  <c r="CE14"/>
  <c r="BW90"/>
  <c r="CL10"/>
  <c r="BT105"/>
  <c r="CK25"/>
  <c r="BT100"/>
  <c r="CK20"/>
  <c r="BW91"/>
  <c r="CL11"/>
  <c r="V26" i="19"/>
  <c r="U26"/>
  <c r="T27"/>
  <c r="W27" s="1"/>
  <c r="V18"/>
  <c r="U18"/>
  <c r="BQ93" i="5"/>
  <c r="CJ13"/>
  <c r="CN13" s="1"/>
  <c r="BO26"/>
  <c r="CF26" s="1"/>
  <c r="CE26"/>
  <c r="BO27"/>
  <c r="CF27" s="1"/>
  <c r="CE27"/>
  <c r="CL23"/>
  <c r="BO15"/>
  <c r="CF15" s="1"/>
  <c r="CE15"/>
  <c r="BW106"/>
  <c r="CL26"/>
  <c r="BT97"/>
  <c r="CK17"/>
  <c r="BT89"/>
  <c r="CK9"/>
  <c r="BQ109"/>
  <c r="CJ29"/>
  <c r="BO25"/>
  <c r="CF25" s="1"/>
  <c r="CE25"/>
  <c r="BW105"/>
  <c r="CL25"/>
  <c r="CM24"/>
  <c r="CN24" s="1"/>
  <c r="CM16"/>
  <c r="CM11"/>
  <c r="T5" i="19"/>
  <c r="W5" s="1"/>
  <c r="U12"/>
  <c r="V12"/>
  <c r="U25"/>
  <c r="V25"/>
  <c r="S22"/>
  <c r="BK118" i="5"/>
  <c r="CD118" s="1"/>
  <c r="U27" i="19"/>
  <c r="V27"/>
  <c r="T16"/>
  <c r="W16" s="1"/>
  <c r="Y14" i="22"/>
  <c r="X11"/>
  <c r="X10" s="1"/>
  <c r="X45" s="1"/>
  <c r="R36" i="19"/>
  <c r="R39" s="1"/>
  <c r="R33"/>
  <c r="T31"/>
  <c r="V31"/>
  <c r="U31"/>
  <c r="CL32" i="5"/>
  <c r="BO32"/>
  <c r="CF32" s="1"/>
  <c r="CE32"/>
  <c r="CK32"/>
  <c r="CJ32"/>
  <c r="P41" i="24"/>
  <c r="T11" i="19"/>
  <c r="BT92" i="5"/>
  <c r="CK12"/>
  <c r="BW92"/>
  <c r="CL12"/>
  <c r="V11" i="19"/>
  <c r="U11"/>
  <c r="CM12" i="5"/>
  <c r="BL29"/>
  <c r="CD33"/>
  <c r="BQ92"/>
  <c r="CJ12"/>
  <c r="BO12"/>
  <c r="CF12" s="1"/>
  <c r="CE12"/>
  <c r="CM22"/>
  <c r="BQ102"/>
  <c r="CJ22"/>
  <c r="V21" i="19"/>
  <c r="U21"/>
  <c r="T21"/>
  <c r="W21" s="1"/>
  <c r="BT102" i="5"/>
  <c r="CK22"/>
  <c r="BW102"/>
  <c r="CL22"/>
  <c r="I33" i="19"/>
  <c r="L32"/>
  <c r="BK117" i="5"/>
  <c r="S4" i="19"/>
  <c r="BK119" i="5"/>
  <c r="S23" i="19"/>
  <c r="S38" s="1"/>
  <c r="R32"/>
  <c r="R34" s="1"/>
  <c r="U23"/>
  <c r="V23"/>
  <c r="BK138" i="5"/>
  <c r="BK147"/>
  <c r="CE44" s="1"/>
  <c r="CC21"/>
  <c r="CC12"/>
  <c r="CC14"/>
  <c r="CC32"/>
  <c r="CC22"/>
  <c r="CC26"/>
  <c r="CC25"/>
  <c r="CC19"/>
  <c r="CC16"/>
  <c r="CC11"/>
  <c r="CC10"/>
  <c r="CC5"/>
  <c r="BM33"/>
  <c r="CC23"/>
  <c r="CC24"/>
  <c r="CD103"/>
  <c r="CB40"/>
  <c r="CF40" s="1"/>
  <c r="CB103"/>
  <c r="CB118" s="1"/>
  <c r="BX40"/>
  <c r="CD40" s="1"/>
  <c r="BX103"/>
  <c r="BX118" s="1"/>
  <c r="BW40"/>
  <c r="BW103"/>
  <c r="BW118" s="1"/>
  <c r="CD95"/>
  <c r="CB95"/>
  <c r="BX87"/>
  <c r="BX85"/>
  <c r="BX39"/>
  <c r="BX33"/>
  <c r="BT85"/>
  <c r="BT39"/>
  <c r="BT33"/>
  <c r="BV85"/>
  <c r="BV117" s="1"/>
  <c r="BV39"/>
  <c r="BV33"/>
  <c r="BZ102"/>
  <c r="BZ90"/>
  <c r="CD97"/>
  <c r="CB89"/>
  <c r="CD109"/>
  <c r="BZ101"/>
  <c r="CD101"/>
  <c r="BV41"/>
  <c r="BV104"/>
  <c r="BV119" s="1"/>
  <c r="BU41"/>
  <c r="BU104"/>
  <c r="BU119" s="1"/>
  <c r="BQ41"/>
  <c r="BQ104"/>
  <c r="BQ119" s="1"/>
  <c r="CD100"/>
  <c r="CD86"/>
  <c r="BX93"/>
  <c r="CC27"/>
  <c r="E39"/>
  <c r="D43"/>
  <c r="E41"/>
  <c r="E40"/>
  <c r="E42"/>
  <c r="BZ107"/>
  <c r="BY40"/>
  <c r="BY103"/>
  <c r="BY118" s="1"/>
  <c r="BZ40"/>
  <c r="CE40" s="1"/>
  <c r="BZ103"/>
  <c r="BZ118" s="1"/>
  <c r="BT40"/>
  <c r="BT103"/>
  <c r="BT118" s="1"/>
  <c r="CB99"/>
  <c r="BX95"/>
  <c r="BZ95"/>
  <c r="CD87"/>
  <c r="BQ39"/>
  <c r="BQ85"/>
  <c r="BQ33"/>
  <c r="BU39"/>
  <c r="BU85"/>
  <c r="BU117" s="1"/>
  <c r="BU33"/>
  <c r="BY39"/>
  <c r="BY85"/>
  <c r="BY117" s="1"/>
  <c r="BY33"/>
  <c r="BK42"/>
  <c r="BL39"/>
  <c r="CB106"/>
  <c r="CB102"/>
  <c r="BX98"/>
  <c r="CD98"/>
  <c r="BX94"/>
  <c r="BX90"/>
  <c r="BX97"/>
  <c r="BZ89"/>
  <c r="BZ109"/>
  <c r="CB108"/>
  <c r="BX108"/>
  <c r="BZ41"/>
  <c r="CE41" s="1"/>
  <c r="BZ104"/>
  <c r="BZ119" s="1"/>
  <c r="BR41"/>
  <c r="BR104"/>
  <c r="BR119" s="1"/>
  <c r="CA41"/>
  <c r="CA104"/>
  <c r="CA119" s="1"/>
  <c r="BZ100"/>
  <c r="CB96"/>
  <c r="BX96"/>
  <c r="BX88"/>
  <c r="CB88"/>
  <c r="BZ91"/>
  <c r="CD93"/>
  <c r="BL41"/>
  <c r="T41"/>
  <c r="S43"/>
  <c r="T39"/>
  <c r="T40"/>
  <c r="T42"/>
  <c r="CB107"/>
  <c r="CD107"/>
  <c r="BV40"/>
  <c r="BV103"/>
  <c r="BV118" s="1"/>
  <c r="BU40"/>
  <c r="BU103"/>
  <c r="BU118" s="1"/>
  <c r="BQ40"/>
  <c r="BQ103"/>
  <c r="BQ118" s="1"/>
  <c r="BX99"/>
  <c r="BZ99"/>
  <c r="CB39"/>
  <c r="CB85"/>
  <c r="CB33"/>
  <c r="BO5"/>
  <c r="CF5" s="1"/>
  <c r="BM39"/>
  <c r="BZ39"/>
  <c r="BZ85"/>
  <c r="BZ33"/>
  <c r="CD85"/>
  <c r="BK113"/>
  <c r="CD106"/>
  <c r="CD102"/>
  <c r="CB98"/>
  <c r="BZ98"/>
  <c r="BZ94"/>
  <c r="CB94"/>
  <c r="CB90"/>
  <c r="CD89"/>
  <c r="BX89"/>
  <c r="CB109"/>
  <c r="CB105"/>
  <c r="BZ105"/>
  <c r="BX101"/>
  <c r="CB101"/>
  <c r="BZ108"/>
  <c r="BO24"/>
  <c r="BM41"/>
  <c r="CB41"/>
  <c r="CF41" s="1"/>
  <c r="CB104"/>
  <c r="CB119" s="1"/>
  <c r="BX41"/>
  <c r="CD41" s="1"/>
  <c r="BX104"/>
  <c r="BX119" s="1"/>
  <c r="BS41"/>
  <c r="BS104"/>
  <c r="BS119" s="1"/>
  <c r="BZ96"/>
  <c r="CD96"/>
  <c r="CD92"/>
  <c r="BZ92"/>
  <c r="CD88"/>
  <c r="CB86"/>
  <c r="CB91"/>
  <c r="BX91"/>
  <c r="BL40"/>
  <c r="CC15"/>
  <c r="CC7"/>
  <c r="CC17"/>
  <c r="CC28"/>
  <c r="CC6"/>
  <c r="CC13"/>
  <c r="BX107"/>
  <c r="BO23"/>
  <c r="BM40"/>
  <c r="BR40"/>
  <c r="BR103"/>
  <c r="BR118" s="1"/>
  <c r="CA40"/>
  <c r="CA103"/>
  <c r="CA118" s="1"/>
  <c r="BS40"/>
  <c r="BS103"/>
  <c r="BS118" s="1"/>
  <c r="CD99"/>
  <c r="CB87"/>
  <c r="BZ87"/>
  <c r="BS85"/>
  <c r="BS117" s="1"/>
  <c r="BS39"/>
  <c r="BS33"/>
  <c r="CA39"/>
  <c r="CA85"/>
  <c r="CA117" s="1"/>
  <c r="CA33"/>
  <c r="BW85"/>
  <c r="BW39"/>
  <c r="BW33"/>
  <c r="BR85"/>
  <c r="BR117" s="1"/>
  <c r="BR39"/>
  <c r="BR33"/>
  <c r="CD112"/>
  <c r="BX106"/>
  <c r="BZ106"/>
  <c r="BX102"/>
  <c r="CD94"/>
  <c r="CD90"/>
  <c r="CB97"/>
  <c r="BZ97"/>
  <c r="BX109"/>
  <c r="CD105"/>
  <c r="BX105"/>
  <c r="CD108"/>
  <c r="CD104"/>
  <c r="BY41"/>
  <c r="BY104"/>
  <c r="BY119" s="1"/>
  <c r="BW41"/>
  <c r="BW104"/>
  <c r="BW119" s="1"/>
  <c r="BT41"/>
  <c r="BT104"/>
  <c r="BT119" s="1"/>
  <c r="CB100"/>
  <c r="BX100"/>
  <c r="CB92"/>
  <c r="BX92"/>
  <c r="BZ88"/>
  <c r="BX86"/>
  <c r="BZ86"/>
  <c r="CD91"/>
  <c r="CB93"/>
  <c r="BZ93"/>
  <c r="CC18"/>
  <c r="CC9"/>
  <c r="CC29"/>
  <c r="CC20"/>
  <c r="CC8"/>
  <c r="BL8"/>
  <c r="BL24"/>
  <c r="T33"/>
  <c r="BE33"/>
  <c r="BE43" s="1"/>
  <c r="BL20"/>
  <c r="BL16"/>
  <c r="BL12"/>
  <c r="BL28"/>
  <c r="BL7"/>
  <c r="BL11"/>
  <c r="BL15"/>
  <c r="BL19"/>
  <c r="BL23"/>
  <c r="BL27"/>
  <c r="BL33"/>
  <c r="BL6"/>
  <c r="BL22"/>
  <c r="BL10"/>
  <c r="BL14"/>
  <c r="BL18"/>
  <c r="BL26"/>
  <c r="BL32"/>
  <c r="BL5"/>
  <c r="BL9"/>
  <c r="BL13"/>
  <c r="BL17"/>
  <c r="BL21"/>
  <c r="BL25"/>
  <c r="J33"/>
  <c r="T6"/>
  <c r="T10"/>
  <c r="T14"/>
  <c r="T18"/>
  <c r="T22"/>
  <c r="T26"/>
  <c r="T32"/>
  <c r="T5"/>
  <c r="T9"/>
  <c r="T13"/>
  <c r="T17"/>
  <c r="T21"/>
  <c r="T25"/>
  <c r="T29"/>
  <c r="T24"/>
  <c r="T8"/>
  <c r="T12"/>
  <c r="T16"/>
  <c r="T20"/>
  <c r="T28"/>
  <c r="T7"/>
  <c r="T11"/>
  <c r="T15"/>
  <c r="T19"/>
  <c r="T23"/>
  <c r="T27"/>
  <c r="H33"/>
  <c r="F33"/>
  <c r="G8" s="1"/>
  <c r="D34"/>
  <c r="E26"/>
  <c r="E21"/>
  <c r="E18"/>
  <c r="E14"/>
  <c r="E8"/>
  <c r="E10"/>
  <c r="E27"/>
  <c r="E22"/>
  <c r="E11"/>
  <c r="E6"/>
  <c r="E16"/>
  <c r="E29"/>
  <c r="E24"/>
  <c r="E19"/>
  <c r="E13"/>
  <c r="E5"/>
  <c r="N33"/>
  <c r="L33"/>
  <c r="E7"/>
  <c r="E9"/>
  <c r="E12"/>
  <c r="E15"/>
  <c r="E17"/>
  <c r="E20"/>
  <c r="E23"/>
  <c r="E25"/>
  <c r="E28"/>
  <c r="E32"/>
  <c r="E33"/>
  <c r="U33"/>
  <c r="W33"/>
  <c r="BC35" s="1"/>
  <c r="BC36" s="1"/>
  <c r="BC37" s="1"/>
  <c r="X25" i="19" l="1"/>
  <c r="CN29" i="5"/>
  <c r="X27" i="19"/>
  <c r="X24"/>
  <c r="X9"/>
  <c r="X28"/>
  <c r="X18"/>
  <c r="X6"/>
  <c r="X8"/>
  <c r="X19"/>
  <c r="X15"/>
  <c r="X10"/>
  <c r="CN26" i="5"/>
  <c r="CN19"/>
  <c r="BO40"/>
  <c r="CF23"/>
  <c r="BO41"/>
  <c r="CF24"/>
  <c r="CN17"/>
  <c r="X17" i="19"/>
  <c r="CN21" i="5"/>
  <c r="S37" i="19"/>
  <c r="S39" s="1"/>
  <c r="T39" s="1"/>
  <c r="T22"/>
  <c r="X16"/>
  <c r="X7"/>
  <c r="CN18" i="5"/>
  <c r="CN10"/>
  <c r="CN7"/>
  <c r="X5" i="19"/>
  <c r="CN8" i="5"/>
  <c r="X26" i="19"/>
  <c r="X20"/>
  <c r="X14"/>
  <c r="CN16" i="5"/>
  <c r="CN25"/>
  <c r="CN15"/>
  <c r="CN23"/>
  <c r="CN11"/>
  <c r="X13" i="19"/>
  <c r="CN28" i="5"/>
  <c r="CN9"/>
  <c r="BK79"/>
  <c r="X12" i="19"/>
  <c r="CN27" i="5"/>
  <c r="CN6"/>
  <c r="B14" i="22"/>
  <c r="Y11"/>
  <c r="Y10" s="1"/>
  <c r="X31" i="19"/>
  <c r="S33"/>
  <c r="T33" s="1"/>
  <c r="W11"/>
  <c r="X11" s="1"/>
  <c r="T36"/>
  <c r="BN27" i="5"/>
  <c r="CN32"/>
  <c r="CA121"/>
  <c r="BY121"/>
  <c r="BV121"/>
  <c r="BS121"/>
  <c r="BU121"/>
  <c r="S41" i="24"/>
  <c r="BR121" i="5"/>
  <c r="BT117"/>
  <c r="BT78" s="1"/>
  <c r="CK33"/>
  <c r="BW117"/>
  <c r="CM33"/>
  <c r="BX117"/>
  <c r="CL33"/>
  <c r="BQ117"/>
  <c r="CN12"/>
  <c r="BN33"/>
  <c r="CE33"/>
  <c r="BZ117"/>
  <c r="CB117"/>
  <c r="CN22"/>
  <c r="CJ33"/>
  <c r="V32" i="19"/>
  <c r="V33" s="1"/>
  <c r="X21"/>
  <c r="CD117" i="5"/>
  <c r="T4" i="19"/>
  <c r="W4" s="1"/>
  <c r="X4" s="1"/>
  <c r="U32"/>
  <c r="U33" s="1"/>
  <c r="CD119" i="5"/>
  <c r="BK121"/>
  <c r="T23" i="19"/>
  <c r="S32"/>
  <c r="BK80" i="5"/>
  <c r="BZ79"/>
  <c r="BU79"/>
  <c r="BN16"/>
  <c r="BN13"/>
  <c r="BN10"/>
  <c r="BN40"/>
  <c r="BN41"/>
  <c r="BN11"/>
  <c r="BN28"/>
  <c r="BN25"/>
  <c r="BN6"/>
  <c r="CA78"/>
  <c r="BY78"/>
  <c r="BN24"/>
  <c r="BN26"/>
  <c r="BN19"/>
  <c r="BN14"/>
  <c r="BN17"/>
  <c r="BN21"/>
  <c r="BN15"/>
  <c r="BN32"/>
  <c r="BN9"/>
  <c r="BN22"/>
  <c r="BN29"/>
  <c r="BN8"/>
  <c r="BN5"/>
  <c r="BV78"/>
  <c r="BN23"/>
  <c r="BN7"/>
  <c r="BN20"/>
  <c r="BN12"/>
  <c r="BN18"/>
  <c r="BV79"/>
  <c r="CB79"/>
  <c r="CB80"/>
  <c r="BW80"/>
  <c r="BS42"/>
  <c r="BS43" s="1"/>
  <c r="CA80"/>
  <c r="BZ80"/>
  <c r="BS80"/>
  <c r="BU80"/>
  <c r="BX80"/>
  <c r="BQ80"/>
  <c r="BV80"/>
  <c r="BR80"/>
  <c r="BR42"/>
  <c r="BR43" s="1"/>
  <c r="BS79"/>
  <c r="BR79"/>
  <c r="BW79"/>
  <c r="CA79"/>
  <c r="BY79"/>
  <c r="BX79"/>
  <c r="BP98"/>
  <c r="BP99"/>
  <c r="BP95"/>
  <c r="BP93"/>
  <c r="BP102"/>
  <c r="BP105"/>
  <c r="BP106"/>
  <c r="BP108"/>
  <c r="BP90"/>
  <c r="BK78"/>
  <c r="BP96"/>
  <c r="BP89"/>
  <c r="BP94"/>
  <c r="BP91"/>
  <c r="BP92"/>
  <c r="BP100"/>
  <c r="BP107"/>
  <c r="BP87"/>
  <c r="BR113"/>
  <c r="BQ113"/>
  <c r="BP88"/>
  <c r="CA113"/>
  <c r="BP97"/>
  <c r="BP103"/>
  <c r="BQ79"/>
  <c r="BT113"/>
  <c r="BT79"/>
  <c r="BW113"/>
  <c r="BP109"/>
  <c r="BP112"/>
  <c r="BV113"/>
  <c r="BP101"/>
  <c r="BS113"/>
  <c r="BU113"/>
  <c r="BP104"/>
  <c r="BT80"/>
  <c r="BY113"/>
  <c r="BX113"/>
  <c r="BF33"/>
  <c r="BF43" s="1"/>
  <c r="V39"/>
  <c r="V41"/>
  <c r="V40"/>
  <c r="V42"/>
  <c r="U43"/>
  <c r="G5"/>
  <c r="G42"/>
  <c r="G41"/>
  <c r="G40"/>
  <c r="F43"/>
  <c r="G39"/>
  <c r="CD113"/>
  <c r="BK74"/>
  <c r="BY42"/>
  <c r="BY43" s="1"/>
  <c r="E43"/>
  <c r="BP86"/>
  <c r="BV42"/>
  <c r="BV43" s="1"/>
  <c r="AR34"/>
  <c r="K40"/>
  <c r="K41"/>
  <c r="J82"/>
  <c r="K39"/>
  <c r="J43"/>
  <c r="K42"/>
  <c r="BO39"/>
  <c r="BO33"/>
  <c r="BO36" s="1"/>
  <c r="BO37" s="1"/>
  <c r="CF39"/>
  <c r="CB42"/>
  <c r="CD39"/>
  <c r="BX42"/>
  <c r="BU42"/>
  <c r="BU43" s="1"/>
  <c r="BT42"/>
  <c r="BT43" s="1"/>
  <c r="N43"/>
  <c r="O41"/>
  <c r="O40"/>
  <c r="O42"/>
  <c r="O39"/>
  <c r="BM42"/>
  <c r="BN39"/>
  <c r="CB113"/>
  <c r="T43"/>
  <c r="BQ42"/>
  <c r="BQ43" s="1"/>
  <c r="BG33"/>
  <c r="BG43" s="1"/>
  <c r="X39"/>
  <c r="X40"/>
  <c r="X41"/>
  <c r="X42"/>
  <c r="W43"/>
  <c r="M41"/>
  <c r="M40"/>
  <c r="M39"/>
  <c r="L43"/>
  <c r="M42"/>
  <c r="I9"/>
  <c r="I40"/>
  <c r="I41"/>
  <c r="I39"/>
  <c r="I42"/>
  <c r="H43"/>
  <c r="BZ42"/>
  <c r="CE39"/>
  <c r="BK43"/>
  <c r="BL42"/>
  <c r="BL43" s="1"/>
  <c r="BZ113"/>
  <c r="BW42"/>
  <c r="BW43" s="1"/>
  <c r="CA42"/>
  <c r="CA43" s="1"/>
  <c r="BP85"/>
  <c r="AW33"/>
  <c r="G25"/>
  <c r="K25"/>
  <c r="P33"/>
  <c r="P43" s="1"/>
  <c r="M22"/>
  <c r="Q33"/>
  <c r="Q43" s="1"/>
  <c r="R33"/>
  <c r="R43" s="1"/>
  <c r="I33"/>
  <c r="K26"/>
  <c r="K10"/>
  <c r="M16"/>
  <c r="K5"/>
  <c r="K14"/>
  <c r="K12"/>
  <c r="K27"/>
  <c r="K18"/>
  <c r="K33"/>
  <c r="K7"/>
  <c r="K28"/>
  <c r="K11"/>
  <c r="K13"/>
  <c r="K16"/>
  <c r="K19"/>
  <c r="K17"/>
  <c r="J34"/>
  <c r="K9"/>
  <c r="K32"/>
  <c r="K8"/>
  <c r="K21"/>
  <c r="K29"/>
  <c r="K22"/>
  <c r="K6"/>
  <c r="K20"/>
  <c r="K24"/>
  <c r="K23"/>
  <c r="K15"/>
  <c r="G28"/>
  <c r="M19"/>
  <c r="G11"/>
  <c r="O5"/>
  <c r="N34"/>
  <c r="I16"/>
  <c r="I29"/>
  <c r="M5"/>
  <c r="L34"/>
  <c r="G17"/>
  <c r="I21"/>
  <c r="I7"/>
  <c r="I22"/>
  <c r="W34"/>
  <c r="X29"/>
  <c r="X25"/>
  <c r="X21"/>
  <c r="X17"/>
  <c r="X13"/>
  <c r="X9"/>
  <c r="X5"/>
  <c r="X20"/>
  <c r="X8"/>
  <c r="X32"/>
  <c r="X26"/>
  <c r="X22"/>
  <c r="X18"/>
  <c r="X14"/>
  <c r="X10"/>
  <c r="X6"/>
  <c r="X28"/>
  <c r="X16"/>
  <c r="X33"/>
  <c r="X27"/>
  <c r="X23"/>
  <c r="X19"/>
  <c r="X15"/>
  <c r="X11"/>
  <c r="X7"/>
  <c r="X24"/>
  <c r="X12"/>
  <c r="U34"/>
  <c r="V28"/>
  <c r="V24"/>
  <c r="V20"/>
  <c r="V16"/>
  <c r="V12"/>
  <c r="V8"/>
  <c r="V25"/>
  <c r="V17"/>
  <c r="V9"/>
  <c r="V21"/>
  <c r="V32"/>
  <c r="V26"/>
  <c r="V22"/>
  <c r="V18"/>
  <c r="V14"/>
  <c r="V10"/>
  <c r="V6"/>
  <c r="V33"/>
  <c r="V27"/>
  <c r="V23"/>
  <c r="V19"/>
  <c r="V15"/>
  <c r="V11"/>
  <c r="V7"/>
  <c r="V29"/>
  <c r="V13"/>
  <c r="V5"/>
  <c r="I18"/>
  <c r="I14"/>
  <c r="I25"/>
  <c r="I26"/>
  <c r="I6"/>
  <c r="I5"/>
  <c r="I13"/>
  <c r="H34"/>
  <c r="I23"/>
  <c r="I8"/>
  <c r="I27"/>
  <c r="I11"/>
  <c r="I10"/>
  <c r="I15"/>
  <c r="I24"/>
  <c r="I28"/>
  <c r="I12"/>
  <c r="I32"/>
  <c r="I20"/>
  <c r="I17"/>
  <c r="I19"/>
  <c r="G15"/>
  <c r="G33"/>
  <c r="G12"/>
  <c r="G22"/>
  <c r="G9"/>
  <c r="G19"/>
  <c r="F34"/>
  <c r="G20"/>
  <c r="G26"/>
  <c r="G14"/>
  <c r="G23"/>
  <c r="G7"/>
  <c r="G24"/>
  <c r="G21"/>
  <c r="G27"/>
  <c r="G6"/>
  <c r="G18"/>
  <c r="G29"/>
  <c r="G16"/>
  <c r="G32"/>
  <c r="G13"/>
  <c r="G10"/>
  <c r="O28"/>
  <c r="O24"/>
  <c r="O20"/>
  <c r="O16"/>
  <c r="O12"/>
  <c r="O8"/>
  <c r="O19"/>
  <c r="O29"/>
  <c r="O25"/>
  <c r="O21"/>
  <c r="O17"/>
  <c r="O13"/>
  <c r="O9"/>
  <c r="O27"/>
  <c r="O7"/>
  <c r="O32"/>
  <c r="O26"/>
  <c r="O22"/>
  <c r="O18"/>
  <c r="O14"/>
  <c r="O10"/>
  <c r="O6"/>
  <c r="O23"/>
  <c r="O11"/>
  <c r="O33"/>
  <c r="O15"/>
  <c r="M26"/>
  <c r="M6"/>
  <c r="M11"/>
  <c r="M29"/>
  <c r="M10"/>
  <c r="M23"/>
  <c r="M13"/>
  <c r="M14"/>
  <c r="M15"/>
  <c r="M12"/>
  <c r="M32"/>
  <c r="M25"/>
  <c r="M9"/>
  <c r="M18"/>
  <c r="M27"/>
  <c r="M33"/>
  <c r="M20"/>
  <c r="M28"/>
  <c r="M21"/>
  <c r="M7"/>
  <c r="M24"/>
  <c r="M8"/>
  <c r="M17"/>
  <c r="W22" i="19" l="1"/>
  <c r="X22" s="1"/>
  <c r="T37"/>
  <c r="AG14" i="22"/>
  <c r="AF14" s="1"/>
  <c r="E14"/>
  <c r="B11"/>
  <c r="C26" i="41" s="1"/>
  <c r="E26" s="1"/>
  <c r="F26" s="1"/>
  <c r="S55" i="24"/>
  <c r="W23" i="19"/>
  <c r="X23" s="1"/>
  <c r="T38"/>
  <c r="BK81" i="5"/>
  <c r="BK82" s="1"/>
  <c r="BW121"/>
  <c r="BW81" s="1"/>
  <c r="BQ121"/>
  <c r="BQ81" s="1"/>
  <c r="CB121"/>
  <c r="CB81" s="1"/>
  <c r="BX121"/>
  <c r="BX81" s="1"/>
  <c r="BT121"/>
  <c r="BT81" s="1"/>
  <c r="BZ121"/>
  <c r="BZ81" s="1"/>
  <c r="BQ78"/>
  <c r="CN33"/>
  <c r="BP40"/>
  <c r="CF33"/>
  <c r="S34" i="19"/>
  <c r="T32"/>
  <c r="BK122" i="5"/>
  <c r="CD121"/>
  <c r="CA81"/>
  <c r="BV81"/>
  <c r="BX78"/>
  <c r="BU74"/>
  <c r="CA74"/>
  <c r="CA122"/>
  <c r="BZ74"/>
  <c r="CB74"/>
  <c r="BZ78"/>
  <c r="BS74"/>
  <c r="BV74"/>
  <c r="BV122"/>
  <c r="BW74"/>
  <c r="BX74"/>
  <c r="BS81"/>
  <c r="BS78"/>
  <c r="BW78"/>
  <c r="BR74"/>
  <c r="CB78"/>
  <c r="BY74"/>
  <c r="BT74"/>
  <c r="BR81"/>
  <c r="BR78"/>
  <c r="BY81"/>
  <c r="BY80"/>
  <c r="BU81"/>
  <c r="BU78"/>
  <c r="BQ74"/>
  <c r="CB43"/>
  <c r="CF42"/>
  <c r="I43"/>
  <c r="K43"/>
  <c r="V43"/>
  <c r="BO42"/>
  <c r="BP39"/>
  <c r="X43"/>
  <c r="O43"/>
  <c r="CE42"/>
  <c r="CE43" s="1"/>
  <c r="BZ43"/>
  <c r="BX43"/>
  <c r="CD42"/>
  <c r="CD43" s="1"/>
  <c r="BP33"/>
  <c r="BP20"/>
  <c r="BP16"/>
  <c r="BP10"/>
  <c r="BP26"/>
  <c r="BP15"/>
  <c r="BP21"/>
  <c r="BP12"/>
  <c r="BP8"/>
  <c r="BP6"/>
  <c r="BP22"/>
  <c r="BP11"/>
  <c r="BP27"/>
  <c r="BP9"/>
  <c r="BP5"/>
  <c r="BP17"/>
  <c r="BP29"/>
  <c r="BP18"/>
  <c r="BP7"/>
  <c r="BP23"/>
  <c r="BP25"/>
  <c r="BP13"/>
  <c r="BP28"/>
  <c r="BP24"/>
  <c r="BP14"/>
  <c r="BP32"/>
  <c r="BP19"/>
  <c r="BN42"/>
  <c r="BN43" s="1"/>
  <c r="BM43"/>
  <c r="M43"/>
  <c r="BP41"/>
  <c r="G43"/>
  <c r="J11" i="22" l="1"/>
  <c r="J10" s="1"/>
  <c r="J45" s="1"/>
  <c r="I11"/>
  <c r="I10" s="1"/>
  <c r="I45" s="1"/>
  <c r="E11"/>
  <c r="F16" s="1"/>
  <c r="AG11"/>
  <c r="AF11" s="1"/>
  <c r="B10"/>
  <c r="C25" i="41" s="1"/>
  <c r="W32" i="19"/>
  <c r="W33" s="1"/>
  <c r="U6" i="24"/>
  <c r="CF43" i="5"/>
  <c r="BV82"/>
  <c r="CA82"/>
  <c r="BX82"/>
  <c r="BX122"/>
  <c r="BT122"/>
  <c r="BU82"/>
  <c r="BU122"/>
  <c r="BQ82"/>
  <c r="BT82"/>
  <c r="BZ82"/>
  <c r="BQ122"/>
  <c r="BZ122"/>
  <c r="BY82"/>
  <c r="BR82"/>
  <c r="BW82"/>
  <c r="BS82"/>
  <c r="CB82"/>
  <c r="BY122"/>
  <c r="BR122"/>
  <c r="BW122"/>
  <c r="BS122"/>
  <c r="CB122"/>
  <c r="BP42"/>
  <c r="BP43" s="1"/>
  <c r="BO43"/>
  <c r="E10" i="22" l="1"/>
  <c r="AG10"/>
  <c r="AF10" s="1"/>
  <c r="X32" i="19"/>
  <c r="S57" i="24"/>
  <c r="G64" l="1"/>
  <c r="H64"/>
  <c r="Z7" i="41" l="1"/>
  <c r="I64" i="24"/>
  <c r="Z10" i="41" l="1"/>
  <c r="AB10" s="1"/>
  <c r="G67" i="24" l="1"/>
  <c r="S34" i="5"/>
  <c r="T11" i="24" l="1"/>
  <c r="T35" s="1"/>
  <c r="P11"/>
  <c r="P35" s="1"/>
  <c r="L11"/>
  <c r="L35" s="1"/>
  <c r="Q11"/>
  <c r="Q35" s="1"/>
  <c r="M11"/>
  <c r="M35" s="1"/>
  <c r="I11"/>
  <c r="R11"/>
  <c r="R35" s="1"/>
  <c r="N11"/>
  <c r="N35" s="1"/>
  <c r="J11"/>
  <c r="J35" s="1"/>
  <c r="S11"/>
  <c r="S35" s="1"/>
  <c r="O11"/>
  <c r="O35" s="1"/>
  <c r="K11"/>
  <c r="K35" s="1"/>
  <c r="Z8" i="41"/>
  <c r="Z9" s="1"/>
  <c r="I8"/>
  <c r="AJ33" i="5"/>
  <c r="AJ43" s="1"/>
  <c r="AG33"/>
  <c r="AG43" s="1"/>
  <c r="AA33"/>
  <c r="AA43" s="1"/>
  <c r="AI33"/>
  <c r="AI43" s="1"/>
  <c r="AB33"/>
  <c r="AB43" s="1"/>
  <c r="AH33"/>
  <c r="AH43" s="1"/>
  <c r="Z33"/>
  <c r="Z43" s="1"/>
  <c r="Y33"/>
  <c r="Y43" s="1"/>
  <c r="AE33"/>
  <c r="AE43" s="1"/>
  <c r="AD33"/>
  <c r="AD43" s="1"/>
  <c r="AF33"/>
  <c r="AF43" s="1"/>
  <c r="AC33"/>
  <c r="AC43" s="1"/>
  <c r="AA9" i="41" l="1"/>
  <c r="AB9" s="1"/>
  <c r="H67" i="24"/>
  <c r="U12"/>
  <c r="AJ34" i="5"/>
  <c r="I67" i="24" l="1"/>
  <c r="J26" i="41" l="1"/>
  <c r="Y64" i="22"/>
  <c r="B64" s="1"/>
  <c r="C8" i="41" s="1"/>
  <c r="CH33" i="5"/>
  <c r="B105" i="22" l="1"/>
  <c r="AG64"/>
  <c r="D9" i="39" l="1"/>
  <c r="D8" s="1"/>
  <c r="M64" i="22"/>
  <c r="P60" s="1"/>
  <c r="U26" i="41"/>
  <c r="L36" i="18"/>
  <c r="L41" s="1"/>
  <c r="J114" i="5" s="1"/>
  <c r="C105" i="22" l="1"/>
  <c r="C107" s="1"/>
  <c r="C112" s="1"/>
  <c r="C56" i="23"/>
  <c r="Y60" i="22"/>
  <c r="B60" s="1"/>
  <c r="AH64"/>
  <c r="N8" i="41"/>
  <c r="P8" s="1"/>
  <c r="Q8" s="1"/>
  <c r="P57" i="22"/>
  <c r="P56" s="1"/>
  <c r="P101" s="1"/>
  <c r="M57"/>
  <c r="N5" i="41" s="1"/>
  <c r="C64" i="22"/>
  <c r="D8" i="41" s="1"/>
  <c r="E8" s="1"/>
  <c r="E60" i="22" l="1"/>
  <c r="AG60"/>
  <c r="AF60" s="1"/>
  <c r="M56"/>
  <c r="N4" i="41" s="1"/>
  <c r="AH57" i="22"/>
  <c r="Y57"/>
  <c r="Y56" s="1"/>
  <c r="AE64"/>
  <c r="AF64" s="1"/>
  <c r="C57"/>
  <c r="E64"/>
  <c r="D5" i="41" l="1"/>
  <c r="B62" i="22"/>
  <c r="C7" i="41" s="1"/>
  <c r="E7" s="1"/>
  <c r="M101" i="22"/>
  <c r="AH56"/>
  <c r="AD64"/>
  <c r="C56"/>
  <c r="AE57"/>
  <c r="AD57" s="1"/>
  <c r="N22" i="41" l="1"/>
  <c r="N39" s="1"/>
  <c r="M102" i="22"/>
  <c r="D4" i="41"/>
  <c r="B57" i="22"/>
  <c r="AG62"/>
  <c r="AF62" s="1"/>
  <c r="E62"/>
  <c r="AH101"/>
  <c r="M47"/>
  <c r="AE56"/>
  <c r="AD56" s="1"/>
  <c r="C110"/>
  <c r="C106"/>
  <c r="C111" s="1"/>
  <c r="C101"/>
  <c r="D22" i="41" l="1"/>
  <c r="D39" s="1"/>
  <c r="B56" i="22"/>
  <c r="C4" i="41" s="1"/>
  <c r="C5"/>
  <c r="AG57" i="22"/>
  <c r="AF57" s="1"/>
  <c r="E57"/>
  <c r="C102"/>
  <c r="AE101"/>
  <c r="AD101" s="1"/>
  <c r="AG56" l="1"/>
  <c r="AF56" s="1"/>
  <c r="E56"/>
  <c r="B110"/>
  <c r="B76" l="1"/>
  <c r="C12" i="41" s="1"/>
  <c r="E12" s="1"/>
  <c r="B74" i="22" l="1"/>
  <c r="C11" i="41" s="1"/>
  <c r="AG76" i="22"/>
  <c r="AF76" s="1"/>
  <c r="E76"/>
  <c r="Y149"/>
  <c r="Y74"/>
  <c r="Y69" s="1"/>
  <c r="Y90" l="1"/>
  <c r="Y84" s="1"/>
  <c r="Y101" s="1"/>
  <c r="B92"/>
  <c r="C16" i="41" s="1"/>
  <c r="E16" s="1"/>
  <c r="F12" s="1"/>
  <c r="AG74" i="22"/>
  <c r="AF74" s="1"/>
  <c r="E74"/>
  <c r="B69"/>
  <c r="C10" i="41" s="1"/>
  <c r="AG92" i="22" l="1"/>
  <c r="AF92" s="1"/>
  <c r="B90"/>
  <c r="C15" i="41" s="1"/>
  <c r="E92" i="22"/>
  <c r="E69"/>
  <c r="AG69"/>
  <c r="AF69" s="1"/>
  <c r="B84" l="1"/>
  <c r="C14" i="41" s="1"/>
  <c r="E90" i="22"/>
  <c r="AG90"/>
  <c r="AF90" s="1"/>
  <c r="E84" l="1"/>
  <c r="AG84"/>
  <c r="AF84" s="1"/>
  <c r="B101"/>
  <c r="C22" i="41" s="1"/>
  <c r="E101" i="22" l="1"/>
  <c r="AG101"/>
  <c r="AF101" s="1"/>
  <c r="I35" i="24" l="1"/>
  <c r="I36" s="1"/>
  <c r="I56" s="1"/>
  <c r="I61" l="1"/>
  <c r="I62" s="1"/>
  <c r="J5"/>
  <c r="J36" s="1"/>
  <c r="J56" s="1"/>
  <c r="K5" l="1"/>
  <c r="K36" s="1"/>
  <c r="K56" s="1"/>
  <c r="J61"/>
  <c r="J62" s="1"/>
  <c r="K61" l="1"/>
  <c r="K62" s="1"/>
  <c r="L5"/>
  <c r="L36" s="1"/>
  <c r="L56" s="1"/>
  <c r="L61" l="1"/>
  <c r="L62" s="1"/>
  <c r="M5"/>
  <c r="M36" s="1"/>
  <c r="C11" i="30" l="1"/>
  <c r="C12" s="1"/>
  <c r="C13" s="1"/>
  <c r="C14" s="1"/>
  <c r="C15" s="1"/>
  <c r="C16" s="1"/>
  <c r="C17" s="1"/>
  <c r="C18" s="1"/>
  <c r="C19" s="1"/>
  <c r="C20" s="1"/>
  <c r="C21" s="1"/>
  <c r="C22" s="1"/>
  <c r="C23" s="1"/>
  <c r="C24" s="1"/>
  <c r="C25" s="1"/>
  <c r="C26" s="1"/>
  <c r="C27" s="1"/>
  <c r="C28" s="1"/>
  <c r="C29" s="1"/>
  <c r="C30" s="1"/>
  <c r="C31" s="1"/>
  <c r="C32" s="1"/>
  <c r="C33" s="1"/>
  <c r="C34" s="1"/>
  <c r="C35" s="1"/>
  <c r="C36" s="1"/>
  <c r="C37" s="1"/>
  <c r="B54"/>
  <c r="B45"/>
  <c r="C38" l="1"/>
  <c r="C39" s="1"/>
  <c r="C40" s="1"/>
  <c r="C41" s="1"/>
  <c r="C42" s="1"/>
  <c r="C43" s="1"/>
  <c r="C44" s="1"/>
  <c r="C45" s="1"/>
  <c r="C46" s="1"/>
  <c r="C47" s="1"/>
  <c r="C48" s="1"/>
  <c r="C49" s="1"/>
  <c r="C50" s="1"/>
  <c r="C51" s="1"/>
  <c r="C52" s="1"/>
  <c r="C53" s="1"/>
  <c r="C54" s="1"/>
  <c r="C55" s="1"/>
  <c r="C56" s="1"/>
  <c r="C57" s="1"/>
  <c r="C58" s="1"/>
  <c r="C59" s="1"/>
  <c r="C60" s="1"/>
  <c r="C61" s="1"/>
  <c r="C62" s="1"/>
  <c r="C63" s="1"/>
  <c r="P42" i="24"/>
  <c r="P55" s="1"/>
  <c r="M42"/>
  <c r="P57" l="1"/>
  <c r="M55"/>
  <c r="AA6" i="41"/>
  <c r="AB6" s="1"/>
  <c r="H36"/>
  <c r="G36" s="1"/>
  <c r="H8"/>
  <c r="M57" i="24" l="1"/>
  <c r="M56"/>
  <c r="T59"/>
  <c r="H35" i="41"/>
  <c r="G8"/>
  <c r="F8" s="1"/>
  <c r="U38" i="24" l="1"/>
  <c r="N5"/>
  <c r="N36" s="1"/>
  <c r="N56" s="1"/>
  <c r="M61"/>
  <c r="M62" s="1"/>
  <c r="O5" l="1"/>
  <c r="O36" s="1"/>
  <c r="O56" s="1"/>
  <c r="N61"/>
  <c r="N62" s="1"/>
  <c r="O61" l="1"/>
  <c r="O62" s="1"/>
  <c r="P5"/>
  <c r="P36" s="1"/>
  <c r="P56" s="1"/>
  <c r="Q5" l="1"/>
  <c r="Q36" s="1"/>
  <c r="Q56" s="1"/>
  <c r="P61"/>
  <c r="P62" s="1"/>
  <c r="R5" l="1"/>
  <c r="R36" s="1"/>
  <c r="R56" s="1"/>
  <c r="Q61"/>
  <c r="Q62" s="1"/>
  <c r="S5" l="1"/>
  <c r="S36" s="1"/>
  <c r="S56" s="1"/>
  <c r="R61"/>
  <c r="R62" s="1"/>
  <c r="T5" l="1"/>
  <c r="T36" s="1"/>
  <c r="T56" s="1"/>
  <c r="S61"/>
  <c r="S62" s="1"/>
  <c r="T61" l="1"/>
  <c r="Y44" i="22" s="1"/>
  <c r="Y27" l="1"/>
  <c r="Y45" s="1"/>
  <c r="B44"/>
  <c r="T62" i="24"/>
  <c r="Y47" i="22" l="1"/>
  <c r="Y102"/>
  <c r="AG44"/>
  <c r="AF44" s="1"/>
  <c r="B104"/>
  <c r="C36" i="41"/>
  <c r="E36" s="1"/>
  <c r="F36" s="1"/>
  <c r="E44" i="22"/>
  <c r="B27"/>
  <c r="E27" l="1"/>
  <c r="B45"/>
  <c r="C30" i="41"/>
  <c r="AG27" i="22"/>
  <c r="AF27" s="1"/>
  <c r="B106"/>
  <c r="B111" s="1"/>
  <c r="B107"/>
  <c r="B112" s="1"/>
  <c r="E45" l="1"/>
  <c r="C37" i="41"/>
  <c r="C39" s="1"/>
  <c r="AG45" i="22"/>
  <c r="AF45" s="1"/>
  <c r="B102"/>
</calcChain>
</file>

<file path=xl/comments1.xml><?xml version="1.0" encoding="utf-8"?>
<comments xmlns="http://schemas.openxmlformats.org/spreadsheetml/2006/main">
  <authors>
    <author>angel.placeres</author>
  </authors>
  <commentList>
    <comment ref="M14" authorId="0">
      <text>
        <r>
          <rPr>
            <b/>
            <sz val="9"/>
            <color indexed="81"/>
            <rFont val="Tahoma"/>
            <family val="2"/>
          </rPr>
          <t>angel.placeres:</t>
        </r>
        <r>
          <rPr>
            <sz val="9"/>
            <color indexed="81"/>
            <rFont val="Tahoma"/>
            <family val="2"/>
          </rPr>
          <t xml:space="preserve">
Factura Geursa que entraría con la subvención de MetroGuagua</t>
        </r>
      </text>
    </comment>
    <comment ref="M44" authorId="0">
      <text>
        <r>
          <rPr>
            <b/>
            <sz val="9"/>
            <color indexed="81"/>
            <rFont val="Tahoma"/>
            <family val="2"/>
          </rPr>
          <t>angel.placeres:</t>
        </r>
        <r>
          <rPr>
            <sz val="9"/>
            <color indexed="81"/>
            <rFont val="Tahoma"/>
            <family val="2"/>
          </rPr>
          <t xml:space="preserve">
- 16.630.000 Préstamos que no están en la previsión 
- 13M Movimientos Tesorería Oct-Dic</t>
        </r>
      </text>
    </comment>
    <comment ref="P62" authorId="0">
      <text>
        <r>
          <rPr>
            <b/>
            <sz val="9"/>
            <color indexed="81"/>
            <rFont val="Tahoma"/>
            <family val="2"/>
          </rPr>
          <t>angel.placeres:</t>
        </r>
        <r>
          <rPr>
            <sz val="9"/>
            <color indexed="81"/>
            <rFont val="Tahoma"/>
            <family val="2"/>
          </rPr>
          <t xml:space="preserve">
Asumimos que en el Consejo se va a llevar a resukltados anteriores</t>
        </r>
      </text>
    </comment>
    <comment ref="M68" authorId="0">
      <text>
        <r>
          <rPr>
            <b/>
            <sz val="9"/>
            <color indexed="81"/>
            <rFont val="Tahoma"/>
            <family val="2"/>
          </rPr>
          <t>angel.placeres:</t>
        </r>
        <r>
          <rPr>
            <sz val="9"/>
            <color indexed="81"/>
            <rFont val="Tahoma"/>
            <family val="2"/>
          </rPr>
          <t xml:space="preserve">
Metroguagua 2019 pasa aquí</t>
        </r>
      </text>
    </comment>
    <comment ref="G78" authorId="0">
      <text>
        <r>
          <rPr>
            <b/>
            <sz val="9"/>
            <color indexed="81"/>
            <rFont val="Tahoma"/>
            <family val="2"/>
          </rPr>
          <t>angel.placeres:</t>
        </r>
        <r>
          <rPr>
            <sz val="9"/>
            <color indexed="81"/>
            <rFont val="Tahoma"/>
            <family val="2"/>
          </rPr>
          <t xml:space="preserve">
Fianzas</t>
        </r>
      </text>
    </comment>
    <comment ref="G94" authorId="0">
      <text>
        <r>
          <rPr>
            <b/>
            <sz val="9"/>
            <color indexed="81"/>
            <rFont val="Tahoma"/>
            <family val="2"/>
          </rPr>
          <t>angel.placeres:</t>
        </r>
        <r>
          <rPr>
            <sz val="9"/>
            <color indexed="81"/>
            <rFont val="Tahoma"/>
            <family val="2"/>
          </rPr>
          <t xml:space="preserve">
Fianzas</t>
        </r>
      </text>
    </comment>
  </commentList>
</comments>
</file>

<file path=xl/comments2.xml><?xml version="1.0" encoding="utf-8"?>
<comments xmlns="http://schemas.openxmlformats.org/spreadsheetml/2006/main">
  <authors>
    <author>angel.placeres</author>
  </authors>
  <commentList>
    <comment ref="H29" authorId="0">
      <text>
        <r>
          <rPr>
            <b/>
            <sz val="9"/>
            <color indexed="81"/>
            <rFont val="Tahoma"/>
            <family val="2"/>
          </rPr>
          <t>angel.placeres:</t>
        </r>
        <r>
          <rPr>
            <sz val="9"/>
            <color indexed="81"/>
            <rFont val="Tahoma"/>
            <family val="2"/>
          </rPr>
          <t xml:space="preserve">
</t>
        </r>
        <r>
          <rPr>
            <sz val="12"/>
            <color indexed="81"/>
            <rFont val="Tahoma"/>
            <family val="2"/>
          </rPr>
          <t>Obra Santa Catalina</t>
        </r>
      </text>
    </comment>
    <comment ref="I42" authorId="0">
      <text>
        <r>
          <rPr>
            <b/>
            <sz val="9"/>
            <color indexed="81"/>
            <rFont val="Tahoma"/>
            <family val="2"/>
          </rPr>
          <t>angel.placeres:</t>
        </r>
        <r>
          <rPr>
            <sz val="9"/>
            <color indexed="81"/>
            <rFont val="Tahoma"/>
            <family val="2"/>
          </rPr>
          <t xml:space="preserve">
Si conseguimos que pase el Expediente</t>
        </r>
      </text>
    </comment>
  </commentList>
</comments>
</file>

<file path=xl/comments3.xml><?xml version="1.0" encoding="utf-8"?>
<comments xmlns="http://schemas.openxmlformats.org/spreadsheetml/2006/main">
  <authors>
    <author>angel.placeres</author>
  </authors>
  <commentList>
    <comment ref="C97" authorId="0">
      <text>
        <r>
          <rPr>
            <b/>
            <sz val="9"/>
            <color indexed="81"/>
            <rFont val="Tahoma"/>
            <family val="2"/>
          </rPr>
          <t>angel.placeres:</t>
        </r>
        <r>
          <rPr>
            <sz val="9"/>
            <color indexed="81"/>
            <rFont val="Tahoma"/>
            <family val="2"/>
          </rPr>
          <t xml:space="preserve">
¿Por qué hay una recarga? ¿Afecta a la tarifa?</t>
        </r>
      </text>
    </comment>
  </commentList>
</comments>
</file>

<file path=xl/comments4.xml><?xml version="1.0" encoding="utf-8"?>
<comments xmlns="http://schemas.openxmlformats.org/spreadsheetml/2006/main">
  <authors>
    <author>angel.placeres</author>
  </authors>
  <commentList>
    <comment ref="E12" authorId="0">
      <text>
        <r>
          <rPr>
            <b/>
            <sz val="9"/>
            <color indexed="81"/>
            <rFont val="Tahoma"/>
            <family val="2"/>
          </rPr>
          <t>angel.placeres:</t>
        </r>
        <r>
          <rPr>
            <sz val="9"/>
            <color indexed="81"/>
            <rFont val="Tahoma"/>
            <family val="2"/>
          </rPr>
          <t xml:space="preserve">
Según el mes en que se coja, poner los meses en los que empieza a contar el periodo de amortización. 
Por ejemplo:
- si se coge en diciembre: 1
- si se coge en enero: 12</t>
        </r>
      </text>
    </comment>
  </commentList>
</comments>
</file>

<file path=xl/sharedStrings.xml><?xml version="1.0" encoding="utf-8"?>
<sst xmlns="http://schemas.openxmlformats.org/spreadsheetml/2006/main" count="2368" uniqueCount="1082">
  <si>
    <t>SOCIEDADES MUNICIPALES.-  ficha nº 3</t>
  </si>
  <si>
    <t>PRESUPUESTO GENERAL DEL EXCMO.</t>
  </si>
  <si>
    <t>EJERCICIO</t>
  </si>
  <si>
    <t xml:space="preserve"> AYUNTAMIENTO DE LAS PALMAS DE GRAN CANARIA</t>
  </si>
  <si>
    <t>Sociedad: Guaguas Municipales, S. A.</t>
  </si>
  <si>
    <t>NIF: A35092683</t>
  </si>
  <si>
    <t>CUENTA DE PÉRDIDAS Y GANANCIAS</t>
  </si>
  <si>
    <t>(Importe en  €)</t>
  </si>
  <si>
    <t>1.  Importe neto de la cifra de negocios</t>
  </si>
  <si>
    <t>Importe total por prestación servicios (Cta. 705 + 708)</t>
  </si>
  <si>
    <t>Importe total por subvenciones tarifarias (cta. 705)</t>
  </si>
  <si>
    <t>3. Trabajos realizados por la empresa para su activo</t>
  </si>
  <si>
    <t>4. Aprovisionamientos</t>
  </si>
  <si>
    <t>b) b. 1) Consumo de materias primas y otras materias consumibles (Cta. 602)</t>
  </si>
  <si>
    <t>b) b. 2) Devolución impuesto gasoil  (Cta. 602)</t>
  </si>
  <si>
    <t>c) Trabajos realizados por otras empresas (Cta. 607)</t>
  </si>
  <si>
    <t>5. Otros ingresos de explotación</t>
  </si>
  <si>
    <t>a) Ingresos accesorios y otros de gestión corriente (Subgrupo 75)</t>
  </si>
  <si>
    <t>b) Subvenciones de explotación incorporadas al resultado del ejercicio (Cta. 740)</t>
  </si>
  <si>
    <t>6.  Gastos de personal</t>
  </si>
  <si>
    <t>a) Sueldos, salarios y asimilados</t>
  </si>
  <si>
    <t>b) Cargas sociales</t>
  </si>
  <si>
    <t>7.  Otros gastos de explotación</t>
  </si>
  <si>
    <t>a) Servicios exteriores</t>
  </si>
  <si>
    <t>b) Tributos</t>
  </si>
  <si>
    <t>8. Amortización del inmovilizado</t>
  </si>
  <si>
    <t>a) Amortización del inmovilizado intangible</t>
  </si>
  <si>
    <t>b) Amortización del inmovilizado material</t>
  </si>
  <si>
    <t>c) Amortización de las inversiones inmobiliarias</t>
  </si>
  <si>
    <t>9. Imputación de subvenciones de inmovilizado no financiero y otras</t>
  </si>
  <si>
    <t>13.  Otros resultados</t>
  </si>
  <si>
    <t xml:space="preserve">  Gastos excepcionales</t>
  </si>
  <si>
    <t xml:space="preserve">  Ingresos excepcionales</t>
  </si>
  <si>
    <t>A.1)  RESULTADO DE EXPLOTACIÓN (1+2+3+4+5+6+7+8+9+10+11+12+12a+13)</t>
  </si>
  <si>
    <t>14. Ingresos financieros</t>
  </si>
  <si>
    <t>b) De valores negociables y otros instrumentos financieros</t>
  </si>
  <si>
    <t>15. Gastos financieros</t>
  </si>
  <si>
    <t>b) Por deudas con terceros</t>
  </si>
  <si>
    <t>A.5)  RESULTADO DEL EJERCICIO</t>
  </si>
  <si>
    <t>Departamento</t>
  </si>
  <si>
    <t>Concepto</t>
  </si>
  <si>
    <t>Operaciones</t>
  </si>
  <si>
    <t>EDIFICIO AREQUIPA (AGUA)</t>
  </si>
  <si>
    <t>EDIFICIO AREQUIPA (ELECTRICIDAD)</t>
  </si>
  <si>
    <t>Informática</t>
  </si>
  <si>
    <t>Metroguagua</t>
  </si>
  <si>
    <t>Coordinación Gestión y Desarrollo de Personas</t>
  </si>
  <si>
    <t>Control Interno y Compras</t>
  </si>
  <si>
    <t>Servicios Jurídicos y Contratación</t>
  </si>
  <si>
    <t>Dirección General</t>
  </si>
  <si>
    <t>Económico Financiero</t>
  </si>
  <si>
    <t>Mantenimiento y Taller</t>
  </si>
  <si>
    <t>Comercial</t>
  </si>
  <si>
    <t>Ajustes</t>
  </si>
  <si>
    <t xml:space="preserve">PROYECTO BRT METROGUAGUA </t>
  </si>
  <si>
    <t>anual</t>
  </si>
  <si>
    <t>Actualización de la cartelería de emergencia y evacuación. Adecuación nueva normativa.</t>
  </si>
  <si>
    <t>ADQUISICION LIBROS Y MANUALES</t>
  </si>
  <si>
    <t>P. DIRECTO</t>
  </si>
  <si>
    <t>B. FACIL</t>
  </si>
  <si>
    <t>B.SAGULPA (Monedero Sagulpa)</t>
  </si>
  <si>
    <t>T.SOLIDARIA</t>
  </si>
  <si>
    <t>B.ESTUDIANTE</t>
  </si>
  <si>
    <t>B.JUBILADO</t>
  </si>
  <si>
    <t>TRANSGRANC</t>
  </si>
  <si>
    <t>BONO 10 (LPAMOVILIDAD)</t>
  </si>
  <si>
    <t>PASE EMPLEADO</t>
  </si>
  <si>
    <t>PASE ESPECIAL</t>
  </si>
  <si>
    <t>F.N. ESPECIAL</t>
  </si>
  <si>
    <t>F.N. GENERAL</t>
  </si>
  <si>
    <t>BONO 2 VIAJES</t>
  </si>
  <si>
    <t>G.AMARILLA</t>
  </si>
  <si>
    <t>BGG (LPAMOVILIDAD COMPARTIDA)</t>
  </si>
  <si>
    <t>TARJETA TURISTA 1 DÍA</t>
  </si>
  <si>
    <t>TARJETA TURISTA 3 DÍAS</t>
  </si>
  <si>
    <t>BONO ORO</t>
  </si>
  <si>
    <t>BONO WWJOVEN</t>
  </si>
  <si>
    <t>BONO RESIDENTE CANARIO</t>
  </si>
  <si>
    <t>BGG ESTUDIANTE</t>
  </si>
  <si>
    <t>BGG JUBILADO</t>
  </si>
  <si>
    <t>BGG F.N.GENERAL</t>
  </si>
  <si>
    <t>BGG F.N.ESPECIAL</t>
  </si>
  <si>
    <t>BGG SOLIDARIO</t>
  </si>
  <si>
    <t>PAGO DIRECTO</t>
  </si>
  <si>
    <t>LPA MOVILIDAD (BONO GUAGUA SIN CONTACTO)</t>
  </si>
  <si>
    <t>LPA MOVILIDAD GM-GLOBAL (BONO COMPARTIDO)</t>
  </si>
  <si>
    <t>BONO ESTUDIANTE</t>
  </si>
  <si>
    <t>BONO ESTUDIANTE GM-GLOBAL (BONO ESTUDIANTE COMPARTIDO)</t>
  </si>
  <si>
    <t>BONO FACIL</t>
  </si>
  <si>
    <t>BONO JUBILADO</t>
  </si>
  <si>
    <t>BONO JUBILADO GM-GLOBAL (BONO JUBILADO COMPARTIDO)</t>
  </si>
  <si>
    <t>FAMILIA NUMEROSA GENERAL</t>
  </si>
  <si>
    <t>FAMILIA NUMEROSA GENERAL GM-GLOBAL (FAMILIA NUMEROSA GENERAL COMPARTIDO)</t>
  </si>
  <si>
    <t>FAMILIA NUMEROSA ESPECIAL</t>
  </si>
  <si>
    <t>FAMILIA NUMEROSA ESPECIAL GM-GLOBAL (FAMILIA NUMEROSA ESPECIAL COMPARTIDO)</t>
  </si>
  <si>
    <t>BONO SOLIDARIO</t>
  </si>
  <si>
    <t>BONO SOLIDARIO GM-GLOBAL (BONO SOLIDARIO COMPARTIDO)</t>
  </si>
  <si>
    <t>GUAGUA AMARILLA</t>
  </si>
  <si>
    <t>TARJETA TURISTICA (LIVE 1 DAY CARD)</t>
  </si>
  <si>
    <t>TARJETA TURISTICA (LIVE 3 DAY CARD)</t>
  </si>
  <si>
    <t>TRANSGRANCANARIA</t>
  </si>
  <si>
    <t>INGRESOS POR VENTAS DE CARNETS</t>
  </si>
  <si>
    <t xml:space="preserve"> BONO GRAN CANARIA-WAWA JOVEN (TARJETA WAWA JOVEN)</t>
  </si>
  <si>
    <t xml:space="preserve"> BONO ORO</t>
  </si>
  <si>
    <t>TOTAL</t>
  </si>
  <si>
    <t>ESTIMADO CIERRE 2019</t>
  </si>
  <si>
    <t>NORMAL</t>
  </si>
  <si>
    <t>TRANSBORDO</t>
  </si>
  <si>
    <t>Uds.</t>
  </si>
  <si>
    <t>% s/Total</t>
  </si>
  <si>
    <t>PRESUPUESTO 2020</t>
  </si>
  <si>
    <t>ENERO-AGOSTO 2019</t>
  </si>
  <si>
    <t>Denominación 1</t>
  </si>
  <si>
    <t>Denominación 2</t>
  </si>
  <si>
    <t>2018 ENE-DIC</t>
  </si>
  <si>
    <t>2018 ENE-AGO</t>
  </si>
  <si>
    <t>INCREMENTO ENE-AGO 2019-2018</t>
  </si>
  <si>
    <t>Comentario</t>
  </si>
  <si>
    <t>Elementos de transporte</t>
  </si>
  <si>
    <t>Gastos de Comunicación MetroGuagua</t>
  </si>
  <si>
    <t>mes</t>
  </si>
  <si>
    <t>2018 Primera Etapa</t>
  </si>
  <si>
    <t>2019 Primera Etapa</t>
  </si>
  <si>
    <t>% Segunda Etapa</t>
  </si>
  <si>
    <t>acum</t>
  </si>
  <si>
    <t>1-8</t>
  </si>
  <si>
    <t>resto año</t>
  </si>
  <si>
    <t>9-12</t>
  </si>
  <si>
    <t>Factor Correción con BONO 10</t>
  </si>
  <si>
    <t>Títulos nuevos</t>
  </si>
  <si>
    <t>2019</t>
  </si>
  <si>
    <t>2020</t>
  </si>
  <si>
    <t>Increm 1ª Etapa</t>
  </si>
  <si>
    <t>2020-2019</t>
  </si>
  <si>
    <t>INCREMENTO ENE-DIC 2019-2018</t>
  </si>
  <si>
    <t>INCREMENTO ENE-DIC 2020-2019</t>
  </si>
  <si>
    <t>Balance a partir de</t>
  </si>
  <si>
    <t>Nº de cuenta</t>
  </si>
  <si>
    <t>Debe</t>
  </si>
  <si>
    <t>Haber</t>
  </si>
  <si>
    <t>Prestaciones de servicios</t>
  </si>
  <si>
    <t>01 RECARGA BONO FACIL ENERO</t>
  </si>
  <si>
    <t>01 RECARGA BONO SOLIDARIO ENERO</t>
  </si>
  <si>
    <t>01 RECARGA BONO SOLIDARIO GUAGUAS-GLOBAL ENERO</t>
  </si>
  <si>
    <t>01 RECARGA ESTUDIANTE ENERO</t>
  </si>
  <si>
    <t>01 RECARGA ESTUDIANTE GUAGUAS-GLOBAL ENERO</t>
  </si>
  <si>
    <t>02 RECARGA BONO SOLIDARIO FEBRERO</t>
  </si>
  <si>
    <t>02 RECARGA BONO SOLIDARIO GUAGUAS-GLOBAL FEBRERO</t>
  </si>
  <si>
    <t>02 RECARGA ESTUDIANTE FEBRERO</t>
  </si>
  <si>
    <t>02 RECARGA ESTUDIANTE GUAGUAS-GLOBAL FEBRERO</t>
  </si>
  <si>
    <t>03 RECARGA BONO FACIL MARZO</t>
  </si>
  <si>
    <t>03 RECARGA BONO SOLIDARIO GUAGUAS-GLOBAL MARZO</t>
  </si>
  <si>
    <t>03 RECARGA BONO SOLIDARIO MARZO</t>
  </si>
  <si>
    <t>03 RECARGA ESTUDIANTE GUAGUAS-GLOBAL MARZO</t>
  </si>
  <si>
    <t>03 RECARGA ESTUDIANTE MARZO</t>
  </si>
  <si>
    <t>04 RECARGA BONO FACIL ABRIL</t>
  </si>
  <si>
    <t>04 RECARGA BONO SOLIDARIO ABRIL</t>
  </si>
  <si>
    <t>04 RECARGA BONO SOLIDARIO GUAGUAS-GLOBAL ABRIL</t>
  </si>
  <si>
    <t>04 RECARGA ESTUDIANTE ABRIL</t>
  </si>
  <si>
    <t>04 RECARGA ESTUDIANTE GUAGUAS-GLOBAL ABRIL</t>
  </si>
  <si>
    <t>05 RECARGA BONO SOLIDARIO GUAGUAS-GLOBAL MAYO</t>
  </si>
  <si>
    <t>05 RECARGA BONO SOLIDARIO MAYO</t>
  </si>
  <si>
    <t>05 RECARGA ESTUDIANTE GUAGUAS-GLOBAL MAYO</t>
  </si>
  <si>
    <t>05 RECARGA ESTUDIANTE MAYO</t>
  </si>
  <si>
    <t>06 RECARGA BONO SOLIDARIO GUAGUAS-GLOBAL JUNIO</t>
  </si>
  <si>
    <t>06 RECARGA BONO SOLIDARIO JUNIO</t>
  </si>
  <si>
    <t>06 RECARGA ESTUDIANTE GUAGUAS-GLOBAL JUNIO</t>
  </si>
  <si>
    <t>06 RECARGA ESTUDIANTE JUNIO</t>
  </si>
  <si>
    <t>07 RECARGA BONO SOLIDARIO GUAGUAS-GLOBAL JULIO</t>
  </si>
  <si>
    <t>07 RECARGA BONO SOLIDARIO JULIO</t>
  </si>
  <si>
    <t>07 RECARGA ESTUDIANTE GUAGUAS-GLOBAL JULIO</t>
  </si>
  <si>
    <t>07 RECARGA ESTUDIANTE JULIO</t>
  </si>
  <si>
    <t>08 RECARGA BONO FACIL AGOSTO</t>
  </si>
  <si>
    <t>08 RECARGA BONO SOLIDARIO AGOSTO</t>
  </si>
  <si>
    <t>08 RECARGA BONO SOLIDARIO GUAGUAS-GLOBAL AGOSTO</t>
  </si>
  <si>
    <t>08 RECARGA ESTUDIANTE AGOSTO</t>
  </si>
  <si>
    <t>08 RECARGA ESTUDIANTE GUAGUAS-GLOBAL AGOSTO</t>
  </si>
  <si>
    <t>09 RECARGA BONO FACIL SEPTIEMBRE</t>
  </si>
  <si>
    <t>10 RECARGA BONO FACIL OCTUBRE</t>
  </si>
  <si>
    <t>10 RECARGA BONO SOLIDARIO GUAGUAS-GLOBAL OCTUBRE</t>
  </si>
  <si>
    <t>10 RECARGA BONO SOLIDARIO OCTUBRE</t>
  </si>
  <si>
    <t>11 RECARGA BONO FACIL NOVIEMBRE</t>
  </si>
  <si>
    <t>11 RECARGA BONO SOLIDARIO GUAGUAS-GLOBAL NOVIEMBRE</t>
  </si>
  <si>
    <t>11 RECARGA BONO SOLIDARIO NOVIEMBRE</t>
  </si>
  <si>
    <t>11 RECARGA ESTUDIANTE GUAGUAS-GLOBAL NOVIEMBRE</t>
  </si>
  <si>
    <t>11 RECARGA ESTUDIANTE NOVIEMBRE</t>
  </si>
  <si>
    <t>12 CANJE RECARGA SOLIDARIO GUAGUAS-GLOBAL DICIEMBRE</t>
  </si>
  <si>
    <t>12 RECARGA BONO FACIL DICIEMBRE</t>
  </si>
  <si>
    <t>12 RECARGA BONO SOLIDARIO DICIEMBRE</t>
  </si>
  <si>
    <t>12 RECARGA BONO SOLIDARIO GUAGUAS-GLOBAL DICIEMBRE</t>
  </si>
  <si>
    <t>12 RECARGA ESTUDIANTE DICIEMBRE</t>
  </si>
  <si>
    <t>12 RECARGA ESTUDIANTE GUAGUAS-GLOBAL DICIEMBRE</t>
  </si>
  <si>
    <t>AJUSTE FACTURA GEXCO-POR COMPENSACION</t>
  </si>
  <si>
    <t>BILLETE DE GUAGUAS AMARILLAS-</t>
  </si>
  <si>
    <t>BILLETE DE PAGO DIRECTO-</t>
  </si>
  <si>
    <t>BILLETE TARJETA UNICA TRANSGRANCANARIA-</t>
  </si>
  <si>
    <t>BOLSA CON CORDON Y LOGO DE GUAGUAS MUNICIPALES S.A.*</t>
  </si>
  <si>
    <t>BOLSA REUTILIZABLE 24 X 30 CM CON LOGO DE GUAGUAS MUNICIPAL</t>
  </si>
  <si>
    <t>BOLSA REUTILIZABLE 24 X 30 CM-CORTESIA*</t>
  </si>
  <si>
    <t>BOLSA REUTILIZABLE 36 X 40 CM- CORTESIA-</t>
  </si>
  <si>
    <t>BOLSA SHOPPING SIN COSTURAS*</t>
  </si>
  <si>
    <t>BONIFICACION SOLICITUD CARNET-</t>
  </si>
  <si>
    <t>BONO 2 VIAJES-APARCAMIENTO EL RINCON</t>
  </si>
  <si>
    <t>BONO 2 VIAJES SIN CONTACTO*</t>
  </si>
  <si>
    <t>CALENDARIO SOBREMESA DE LOGO GUAGUAS MUNICIPALES S.A.*</t>
  </si>
  <si>
    <t>CAMISETA AMARILLA CON LOGO DE GUAGUAS MUNICIPALES S.A.*</t>
  </si>
  <si>
    <t>CAMISETA RUNNING LOGO GUAGUAS *</t>
  </si>
  <si>
    <t>CANCELACIONES RESIDENTE CANARIO</t>
  </si>
  <si>
    <t>CANCELACIONES TARJETA LPA MOVILIDAD</t>
  </si>
  <si>
    <t>CANCELACIONES TARJETA WAWA JOVEN</t>
  </si>
  <si>
    <t>CANJE MANTENIMIENTO-</t>
  </si>
  <si>
    <t>CARNET BONO FACIL-</t>
  </si>
  <si>
    <t>CARNET BONO GUAGUAS-GLOBAL-</t>
  </si>
  <si>
    <t>CARNET BONO ORO-</t>
  </si>
  <si>
    <t>CARNET BONO RESIDENTE CANARIO-</t>
  </si>
  <si>
    <t>CARNET BONO SOLIDARIO-</t>
  </si>
  <si>
    <t>CARNET ESTUDIANTE-</t>
  </si>
  <si>
    <t>CARNET ESTUDIANTE GUAGUAS-GLOBAL-</t>
  </si>
  <si>
    <t>CARNET FAMILIA NUMEROSA ESPECIAL-</t>
  </si>
  <si>
    <t>CARNET FAMILIA NUMEROSA ESPECIAL GUAGUAS-GLOBAL-</t>
  </si>
  <si>
    <t>CARNET FAMILIA NUMEROSA GENERAL-</t>
  </si>
  <si>
    <t>CARNET FAMILIA NUMEROSA GENERAL GUAGUAS-GLOBAL-</t>
  </si>
  <si>
    <t>CARNET JUBILADO-</t>
  </si>
  <si>
    <t>CARNET JUBILADO GUAGUAS-GLOBAL-</t>
  </si>
  <si>
    <t>CARNET SOLIDARIO GUAGUAS-GLOBAL-</t>
  </si>
  <si>
    <t>CARNET WAWA JOVEN -</t>
  </si>
  <si>
    <t>CD PARRANDA DE GUAGUAS "SUBETE A LA GUAGUA" *</t>
  </si>
  <si>
    <t>DUPLICADO CARNET WAWA JOVEN-</t>
  </si>
  <si>
    <t>FUNDA NEGRA ORDENADOR CON LOGO DE GUAGUAS MUNICIPALES S.A.*</t>
  </si>
  <si>
    <t>FUNDAS CARNET*</t>
  </si>
  <si>
    <t>KIT LIBRETA Y BOLI*</t>
  </si>
  <si>
    <t>LIBRETA ESPIRAL LOGO DE GUAGUAS*</t>
  </si>
  <si>
    <t>LLAVERO CON LOGO DE GUAGUAS MUNICIPALES S.A.-</t>
  </si>
  <si>
    <t>PELUCHE CON LOGO DE GUAGUAS MUNICIPALES S.A.*</t>
  </si>
  <si>
    <t>PENDRIVE 8GB CON LOGO DE GUAGUAS MUNICIPALES S.A.*</t>
  </si>
  <si>
    <t>RECARGA BONO 2 VIAJES</t>
  </si>
  <si>
    <t>RECARGA BONO ORO-</t>
  </si>
  <si>
    <t>RECARGA BONO RESIDENTE CANARIO-</t>
  </si>
  <si>
    <t>RECARGA FAMILIA NUMEROSA ESPECIAL-</t>
  </si>
  <si>
    <t>RECARGA FAMILIA NUMEROSA GENERAL-</t>
  </si>
  <si>
    <t>RECARGA WAWA JOVEN-</t>
  </si>
  <si>
    <t>SOLICITUD CARNET BONO SOLIDARIO-</t>
  </si>
  <si>
    <t>SOLICITUD CARNET FAMILIA NUMEROSA GENERAL GUAGUAS-GLOBAL-</t>
  </si>
  <si>
    <t>SOLICITUD CARNET JUBILADO-</t>
  </si>
  <si>
    <t>SOLICITUD CARNET SOLIDARIO GUAGUAS-GLOBAL-</t>
  </si>
  <si>
    <t>SOPORTE LPA MOVILIDAD *</t>
  </si>
  <si>
    <t>SUBVENCION TARIFARIA BONO GUAGUAS-GLOBAL</t>
  </si>
  <si>
    <t>SUBVENCION TARIFARIA BONO RESIDENTE AUTORIDAD UNICA</t>
  </si>
  <si>
    <t>SUBVENCION TARIFARIA DESEMPLEADOS-AYUNTAMIENTO</t>
  </si>
  <si>
    <t>SUBVENCION TARIFARIA ESTUDIANTES-AYUNTAMIENTO</t>
  </si>
  <si>
    <t>SUBVENCION TARIFARIA JUBILADO-AYUNTAMIENTO</t>
  </si>
  <si>
    <t>SUBVENCION TARIFARIA LPA MOVILIDAD-AUTORIDAD UNICA</t>
  </si>
  <si>
    <t>SUBVENCION TARIFARIA WAWA JOVEN AUTORIDAD UNICA</t>
  </si>
  <si>
    <t>TARJETA TURISTICA SIN CONTACTO 1 DAY CARD*</t>
  </si>
  <si>
    <t>TARJETA TURISTICA SIN CONTACTO 3 DAY CARD*</t>
  </si>
  <si>
    <t>TAZA CON LOGO DE GUAGUAS MUNICIPALES S.A. *</t>
  </si>
  <si>
    <t>Totales</t>
  </si>
  <si>
    <t>Ingresos</t>
  </si>
  <si>
    <t>Tarifa</t>
  </si>
  <si>
    <t xml:space="preserve">Ingresos </t>
  </si>
  <si>
    <t>Incre %</t>
  </si>
  <si>
    <t>Total sin Bono Joven y Bono Residente</t>
  </si>
  <si>
    <t>Bono Joven</t>
  </si>
  <si>
    <t>Bono Residente</t>
  </si>
  <si>
    <t>Categoría OpenBravo</t>
  </si>
  <si>
    <t>Otros Ingresos</t>
  </si>
  <si>
    <t>Subvenciones</t>
  </si>
  <si>
    <t>???</t>
  </si>
  <si>
    <t>SUBVENCIONES EN CAPITAL</t>
  </si>
  <si>
    <t>Z:\ECOFIN\2019\AYUNTAMIENTO\04 EDUCACIÓN</t>
  </si>
  <si>
    <t>Informes de subvenciones con datos usados para calcular subvención</t>
  </si>
  <si>
    <t>Informes GEXCO</t>
  </si>
  <si>
    <t>Z:\ECOFIN\2019\AUTGC\CONVENIO OPERADORAS BONO GUAGUA JOVEN-RESIDENTE-ORO</t>
  </si>
  <si>
    <t>PyG</t>
  </si>
  <si>
    <t>Otros sin Metroguagua</t>
  </si>
  <si>
    <t>AYUNTAMIENTO DE LAS PALMAS DE GRAN CANARIA</t>
  </si>
  <si>
    <t>OTRAS SUBVENCIONES A ENTES PUBLICOS SOCIEDADES MERCANTILES DEL AYUNTAMIENTO (APORTACION AL DEFICIT DE EXPLOTACION FUERA DEL CONTRATO PROGRAMA)</t>
  </si>
  <si>
    <t>Ingresos Depurados</t>
  </si>
  <si>
    <t>Cuenta 705</t>
  </si>
  <si>
    <t>Producto</t>
  </si>
  <si>
    <t>Ene-Ago</t>
  </si>
  <si>
    <t>Cuesta 42€ para viajes ilimitados que se tienen que consumir en el mes natural</t>
  </si>
  <si>
    <t>Recarga entra en la 485 y se lleva al final del mes a la 705</t>
  </si>
  <si>
    <t xml:space="preserve">Cuesta 26€ a consumir en mes natural </t>
  </si>
  <si>
    <t xml:space="preserve">ALARMA!!! </t>
  </si>
  <si>
    <t>Carnet 1,50€ + Recargas de 8,5€</t>
  </si>
  <si>
    <t>La venta del carnet va a la 705 y las recargas a 485 y llevadas a 705 por valor de cancelación</t>
  </si>
  <si>
    <t>BONO 10 (LPAMOVILIDAD) - Saldo Mantenimiento VentaCanje</t>
  </si>
  <si>
    <t>Un soporte con 2,40€ cargados</t>
  </si>
  <si>
    <t>OfCo contabilzia factura cliente en la 485 y Sonia traspasa a la 705</t>
  </si>
  <si>
    <t>BONO 2 VIAJES - Factura Enero Lidia</t>
  </si>
  <si>
    <t>BONO 2 VIAJES - FALTA Julio/Agosto</t>
  </si>
  <si>
    <t>BONO 2 VIAJES - VENTA MAL IMPUTADA</t>
  </si>
  <si>
    <t>Para jubilados con ingresos mayores del limite 28€ viajes ilimitados en el mes natural</t>
  </si>
  <si>
    <t>Las recargas van directamente a la 705</t>
  </si>
  <si>
    <t>BONO ORO-GEXCO</t>
  </si>
  <si>
    <t>Se está llevando todo a venta directamente al final del mes</t>
  </si>
  <si>
    <t>BONO RESIDENTE CANARIO - Anulación 2018</t>
  </si>
  <si>
    <t>OJO: GEXCO???</t>
  </si>
  <si>
    <t>BONO WWJOVEN - Anulación Saldos 2018</t>
  </si>
  <si>
    <t>INGRESOS POR VENTAS DE CARNETS - Facturas Gexco?</t>
  </si>
  <si>
    <t>INGRESOS POR VENTAS DE CARNETS - Venta LPA Mov a Panini</t>
  </si>
  <si>
    <t>Otros Ingresos-Merchandising</t>
  </si>
  <si>
    <t>Ajustes Año pasado</t>
  </si>
  <si>
    <t>BONO 2 VIAJES - Anulación 30.06.</t>
  </si>
  <si>
    <t>F.N. ESPECIAL - Ajuste 30.06.</t>
  </si>
  <si>
    <t>F.N. GENERAL - Ajuste 30.06.</t>
  </si>
  <si>
    <t>Títulos estables sin WawaResidenteLPAMov</t>
  </si>
  <si>
    <t>Resultado</t>
  </si>
  <si>
    <t>2,15 viajes diarios</t>
  </si>
  <si>
    <t>1 viaje diario / 1,3 días laborales</t>
  </si>
  <si>
    <t>Riesgo al mínimo de tarifa 0,1 -&gt; 100.000€</t>
  </si>
  <si>
    <t>2 viajes en días laborales o 0,7 viajes días naturales</t>
  </si>
  <si>
    <t>Riesgo 2019 si tarifa=WawaJoven 20.000€; 0 en 2020 porque desaparece</t>
  </si>
  <si>
    <t>Riesgo si la tarifa cayera a la mitad 20.000€</t>
  </si>
  <si>
    <t>Max. 72 viajes</t>
  </si>
  <si>
    <t>Max. 94 viajes</t>
  </si>
  <si>
    <t>No hay riesgos, calculado a tarifa mínima. En cualquier caso Opp por Balance</t>
  </si>
  <si>
    <t>Más bien Opp, porque la tarifa debería ser 2,33</t>
  </si>
  <si>
    <t>5€ Viajes ilimitados 1 día</t>
  </si>
  <si>
    <t>12€ Viajes ilimitatos 3 días</t>
  </si>
  <si>
    <t>Media 2 viajes diarios</t>
  </si>
  <si>
    <t>Media 1,7 viaje dirario</t>
  </si>
  <si>
    <t>Riesgo 5.000-7-000€,si igualamos a tarifa Solidario GM</t>
  </si>
  <si>
    <t>Riesgo &lt;2.000€ si igualamos a tarifa GM</t>
  </si>
  <si>
    <t>Facturamos a 1,36 por lo que hay un error 5.000€</t>
  </si>
  <si>
    <t>OTROS INGRESOS</t>
  </si>
  <si>
    <t>Otros Ingresos y Ventas Carnets</t>
  </si>
  <si>
    <t>TOTAL SIN OTROS INGRESOS</t>
  </si>
  <si>
    <t>Sobre Viajeros 1º Etapa</t>
  </si>
  <si>
    <t xml:space="preserve">Pasajeros 1º Etapa </t>
  </si>
  <si>
    <t>Vol</t>
  </si>
  <si>
    <t>Mix</t>
  </si>
  <si>
    <t>Precio</t>
  </si>
  <si>
    <t>Efectos 2019 vs 2018</t>
  </si>
  <si>
    <t>Efectos 2020 vs 2019</t>
  </si>
  <si>
    <t>CHECK SUBVENCIONES</t>
  </si>
  <si>
    <t>WawaJov</t>
  </si>
  <si>
    <t>Residente</t>
  </si>
  <si>
    <t>Pasajeros</t>
  </si>
  <si>
    <t>€ Dif. Tarifaria</t>
  </si>
  <si>
    <t>Máximo justificable</t>
  </si>
  <si>
    <t>Ayuntamiento Joven + AUTGC Joven</t>
  </si>
  <si>
    <t>AUTGC Residente</t>
  </si>
  <si>
    <t>Subvención en P2020</t>
  </si>
  <si>
    <t>CHECK. EN POSITIVO OK. Menor que 0 -- NO JUSTIFICABLE</t>
  </si>
  <si>
    <t>REVISAR CHECK JUSTIFICACIÓN SUBVENCIONES ABAJO!!! Si está en negativo no llegamos a justificar</t>
  </si>
  <si>
    <t>Amortización</t>
  </si>
  <si>
    <t>Tipo de elemento</t>
  </si>
  <si>
    <t>Coeficiente lineal máximo</t>
  </si>
  <si>
    <t>Período de años máximo</t>
  </si>
  <si>
    <t>Obra civil</t>
  </si>
  <si>
    <t>Obra civil general</t>
  </si>
  <si>
    <t>Pavimentos</t>
  </si>
  <si>
    <t>Infraestructuras y obras mineras</t>
  </si>
  <si>
    <t>Centrales</t>
  </si>
  <si>
    <t>Centrales hidráulicas</t>
  </si>
  <si>
    <t>Centrales nucleares</t>
  </si>
  <si>
    <t>Centrales de carbón</t>
  </si>
  <si>
    <t>Centrales renovables</t>
  </si>
  <si>
    <t>Otras centrales</t>
  </si>
  <si>
    <t>Edificios</t>
  </si>
  <si>
    <t>Edificios industriales</t>
  </si>
  <si>
    <t>Terrenos dedicados exclusivamente a escombreras</t>
  </si>
  <si>
    <t>Almacenes y depósitos (gaseosos, líquidos y sólidos)</t>
  </si>
  <si>
    <t>Edificios comerciales, administrativos, de servicios y viviendas</t>
  </si>
  <si>
    <t>Instalaciones</t>
  </si>
  <si>
    <t>Subestaciones. Redes de transportes y distribución de energía</t>
  </si>
  <si>
    <t>Cables</t>
  </si>
  <si>
    <t>Resto instalaciones</t>
  </si>
  <si>
    <t>Maquinaria</t>
  </si>
  <si>
    <t>Equipos médicos y asimilados</t>
  </si>
  <si>
    <t>Locomotoras, vagones y equipos de tracción</t>
  </si>
  <si>
    <t>Buques, aeronaves</t>
  </si>
  <si>
    <t>Elementos de transporte interno</t>
  </si>
  <si>
    <t>Elementos de transporte externo</t>
  </si>
  <si>
    <t>Autocamiones</t>
  </si>
  <si>
    <t>Mobiliario y enseres</t>
  </si>
  <si>
    <t>Mobiliario</t>
  </si>
  <si>
    <t>Lencería</t>
  </si>
  <si>
    <t>Cristalería</t>
  </si>
  <si>
    <t>Útiles y herramientas</t>
  </si>
  <si>
    <t>Moldes, matrices y modelos</t>
  </si>
  <si>
    <t>Otros enseres</t>
  </si>
  <si>
    <t>Equipos electrónicos e informáticos. Sistemas y programas</t>
  </si>
  <si>
    <t>Equipos electrónicos</t>
  </si>
  <si>
    <t>Equipos para procesos de información</t>
  </si>
  <si>
    <t>Sistemas y programas informáticos</t>
  </si>
  <si>
    <t>Producciones cinematográficas, fonográficas, videos y series audiovisuales</t>
  </si>
  <si>
    <t>Otros elementos</t>
  </si>
  <si>
    <t>Resto</t>
  </si>
  <si>
    <t>Bankia</t>
  </si>
  <si>
    <t>CÁLCULO PRÉSTAMOS INVERSIONES 2020</t>
  </si>
  <si>
    <t>INVERSIÓN 2020</t>
  </si>
  <si>
    <t>FECHA CONCESIÓN</t>
  </si>
  <si>
    <t>FECHA PRIMERA CUOTA</t>
  </si>
  <si>
    <t>MESES DE INTERESES</t>
  </si>
  <si>
    <t>Capital inicial</t>
  </si>
  <si>
    <t>Período (meses)</t>
  </si>
  <si>
    <t>tipo interés mensual</t>
  </si>
  <si>
    <t>tipo interés anual</t>
  </si>
  <si>
    <t>Pago cuota</t>
  </si>
  <si>
    <t>FECHA PAGO</t>
  </si>
  <si>
    <t>1ª CUOTA</t>
  </si>
  <si>
    <t>PRÉSTAMO INICIAL</t>
  </si>
  <si>
    <t>INTERESES</t>
  </si>
  <si>
    <t>CAPITAL AMORTIZADO</t>
  </si>
  <si>
    <t xml:space="preserve">CAPITAL INICIAL </t>
  </si>
  <si>
    <t>PERÍODO MESES</t>
  </si>
  <si>
    <t>tipo interes mensual</t>
  </si>
  <si>
    <t>cuota pagar</t>
  </si>
  <si>
    <t>PRINCIPAL</t>
  </si>
  <si>
    <t>CUOTA PRINCIPAL</t>
  </si>
  <si>
    <t>CUOTA INTERESES</t>
  </si>
  <si>
    <t>CUOTA TOTAL</t>
  </si>
  <si>
    <t>CAPITAL PENDIENTE</t>
  </si>
  <si>
    <t>Meses Préstamo</t>
  </si>
  <si>
    <t>Intereses 2020</t>
  </si>
  <si>
    <t>Formulado según Guaguas</t>
  </si>
  <si>
    <t>¿Dónde están las subvenciones del Civitas y la Metroguagua? Hay gastos metidos sin su correspondiente subvención?</t>
  </si>
  <si>
    <t>En Servicvios Exteriores hemos metido solo el 30% de la asesoría Civitas 235.000€!!</t>
  </si>
  <si>
    <t>Sonia va a comprobar lo que comenta que hasta hoy solo se han llevado los paneles solares, las hibridas y la electrica al cuadro de subvenciones, al resto de gastos (asesoría) no se le está imputando subvención</t>
  </si>
  <si>
    <t>Uniformes 2019-2010 602</t>
  </si>
  <si>
    <t>Resumen Plan Inversión Flota (cuánto había el año pasado,… quién lo iba a pagar…) y Resumen, Flota, Civitas, MetroGuagua…</t>
  </si>
  <si>
    <t>ACTIVO</t>
  </si>
  <si>
    <t>A) ACTIVO NO CORRIENTE</t>
  </si>
  <si>
    <t> I. Inmovilizado intangible</t>
  </si>
  <si>
    <t>Desarrollo</t>
  </si>
  <si>
    <t>Aplicaciones informáticas</t>
  </si>
  <si>
    <t>Anticipos</t>
  </si>
  <si>
    <t>Resto del inmovilizado intangible</t>
  </si>
  <si>
    <t> II. Inmovilizado material</t>
  </si>
  <si>
    <t>Terrenos y construcciones</t>
  </si>
  <si>
    <t>Resto del inmovilizado material</t>
  </si>
  <si>
    <t> III. Inversiones inmobiliarias</t>
  </si>
  <si>
    <t>Terrenos</t>
  </si>
  <si>
    <t>Construcciones</t>
  </si>
  <si>
    <t> IV. Inversiones en empresas del grupo y asociadas a largo plazo</t>
  </si>
  <si>
    <t> V. Inversiones financieras a largo plazo</t>
  </si>
  <si>
    <t> VI. Activos por impuesto diferido</t>
  </si>
  <si>
    <t> VII. Deudores comerciales no corrientes</t>
  </si>
  <si>
    <t>B) ACTIVO CORRIENTE</t>
  </si>
  <si>
    <t> I. Activos no corrientes mantenidos para la venta</t>
  </si>
  <si>
    <t>Inmovilizado</t>
  </si>
  <si>
    <t>Resto del inmovilizado</t>
  </si>
  <si>
    <t>Inversiones financieras</t>
  </si>
  <si>
    <t>Existencias y otros activos</t>
  </si>
  <si>
    <t> II. Existencias</t>
  </si>
  <si>
    <t>Existencias</t>
  </si>
  <si>
    <t> III. Deudores comerciales y otras cuentas a cobrar</t>
  </si>
  <si>
    <t xml:space="preserve">Clientes por ventas y prestaciones de servicios </t>
  </si>
  <si>
    <t>Accionistas (socios) por desembolsos exigidos</t>
  </si>
  <si>
    <t xml:space="preserve">Otros deudores </t>
  </si>
  <si>
    <t> IV. Inversiones en empresas del grupo y asociadas a corto plazo</t>
  </si>
  <si>
    <t> V. Inversiones financieras a corto plazo</t>
  </si>
  <si>
    <t> VI. Periodificaciones a corto plazo</t>
  </si>
  <si>
    <t> VII. Efectivo y otros activos líquidos equivalentes</t>
  </si>
  <si>
    <t>TOTAL ACTIVO (A+B)</t>
  </si>
  <si>
    <t>PATRIMONIO NETO Y PASIVO</t>
  </si>
  <si>
    <t>A) PATRIMONIO NETO</t>
  </si>
  <si>
    <t>A-1) Fondos propios</t>
  </si>
  <si>
    <t xml:space="preserve">I. Capital </t>
  </si>
  <si>
    <t>II. Prima de emisión</t>
  </si>
  <si>
    <t>III. Reservas</t>
  </si>
  <si>
    <t>IV. (Acciones y participaciones en patrimonio propias)</t>
  </si>
  <si>
    <t>V. Resultado de ejercicios anteriores</t>
  </si>
  <si>
    <t>VI. Otras aportaciones de socios</t>
  </si>
  <si>
    <t>VII. Resultado del ejercicio</t>
  </si>
  <si>
    <t>VIII. (Dividendo a cuenta)</t>
  </si>
  <si>
    <t>IX. Otros instrumentos de patrimonio neto</t>
  </si>
  <si>
    <t>A-2) Ajustes por cambio de valor</t>
  </si>
  <si>
    <t>A-3) Subvenciones, donaciones y legados recibidos</t>
  </si>
  <si>
    <t>B) PASIVO NO CORRIENTE</t>
  </si>
  <si>
    <t>I. Provisiones a largo plazo</t>
  </si>
  <si>
    <t>Provisión por retribuciones al personal</t>
  </si>
  <si>
    <t>Provisión por desmantelamiento, retiro o rehabilitación del inmovilizado</t>
  </si>
  <si>
    <t>Otras provisiones</t>
  </si>
  <si>
    <t>II. Deudas a largo plazo</t>
  </si>
  <si>
    <t>Obligaciones y otros valores negociables</t>
  </si>
  <si>
    <t>Deudas con entidades de crédito</t>
  </si>
  <si>
    <t xml:space="preserve"> Acreedores por arrendamiento financiero</t>
  </si>
  <si>
    <t>Otras deudas a largo plazo</t>
  </si>
  <si>
    <t>III. Deudas con empresas del grupo y asociadas a largo plazo</t>
  </si>
  <si>
    <t>IV. Pasivos por impuesto diferido</t>
  </si>
  <si>
    <t>V. Periodificaciones a largo plazo</t>
  </si>
  <si>
    <t>VI. Acreedores comerciales no corrientes</t>
  </si>
  <si>
    <t>VII. Deuda con características especiales a largo plazo</t>
  </si>
  <si>
    <t>C) PASIVO CORRIENTE</t>
  </si>
  <si>
    <t>I. Pasivos vinculados con activos no corrientes mantenidos para la venta</t>
  </si>
  <si>
    <t>II. Provisiones a corto plazo</t>
  </si>
  <si>
    <t>III. Deudas a corto plazo</t>
  </si>
  <si>
    <t>Acreedores por arrendamiento financiero</t>
  </si>
  <si>
    <t>Otras deudas a corto plazo</t>
  </si>
  <si>
    <t>IV. Deudas con empresas del grupo y asociadas a corto plazo</t>
  </si>
  <si>
    <t>V. Acreedores comerciales y otras cuentas a pagar</t>
  </si>
  <si>
    <t>Proveedores</t>
  </si>
  <si>
    <t>Otros acreedores</t>
  </si>
  <si>
    <t>VI. Periodificaciones a corto plazo</t>
  </si>
  <si>
    <t>VII.  Deuda con características especiales a corto plazo</t>
  </si>
  <si>
    <t>TOTAL PATRIMONIO NETO Y PASIVO (A+B+C)</t>
  </si>
  <si>
    <t>1. Resultado del ejercicio antes de impuestos</t>
  </si>
  <si>
    <t>2. Ajustes del resultado</t>
  </si>
  <si>
    <t xml:space="preserve">   a) Amortización del inmovilizado (+)</t>
  </si>
  <si>
    <t xml:space="preserve">   b) Correcciones valorativas por deterioro (+/-)</t>
  </si>
  <si>
    <t xml:space="preserve">   c) Variación de provisiones (+/-)</t>
  </si>
  <si>
    <t xml:space="preserve">   d) Imputación de subvenciones (-)</t>
  </si>
  <si>
    <t xml:space="preserve">   e) Resultados por bajas y enajenaciones del inmovilizado (+/-)</t>
  </si>
  <si>
    <t xml:space="preserve">   f) Resultados por bajas y enajenaciones de instrumentos financieros (+/-)</t>
  </si>
  <si>
    <t xml:space="preserve">   g) Ingresos financieros (-)</t>
  </si>
  <si>
    <t xml:space="preserve">   h) Gastos financieros (+)</t>
  </si>
  <si>
    <t xml:space="preserve">   i) Diferencias de cambio (+/-)</t>
  </si>
  <si>
    <t xml:space="preserve">   j) Diferencias de cambio (+/-)</t>
  </si>
  <si>
    <t xml:space="preserve">   k) Otros ingresos y gastos (+/-)</t>
  </si>
  <si>
    <t>3. Cambios en el capital corriente</t>
  </si>
  <si>
    <t xml:space="preserve">   a) Existencias  (+/-)</t>
  </si>
  <si>
    <t xml:space="preserve">   b) Deudores y otras cuentas para cobrar  (+/-)</t>
  </si>
  <si>
    <t xml:space="preserve">   c) Otros activos corrientes (+/-)</t>
  </si>
  <si>
    <t xml:space="preserve">   d) Acreedores y otras cuentas para pagar (+/-)</t>
  </si>
  <si>
    <t xml:space="preserve">   e) Otros pasivos corrientes (+/-)</t>
  </si>
  <si>
    <t xml:space="preserve">    f)  Otros activos y pasivos no corrientes (+/-)</t>
  </si>
  <si>
    <t>4. Otros flujos de efectivo de las actividades  de explotación</t>
  </si>
  <si>
    <t xml:space="preserve">   a) Pagos de intereses  (-)</t>
  </si>
  <si>
    <t xml:space="preserve">   b) Cobros de dividendos  (+)</t>
  </si>
  <si>
    <t xml:space="preserve">   c) Cobros de intereses  (+)</t>
  </si>
  <si>
    <t xml:space="preserve">   d) Cobros (pagos) por impuesto sobre beneficios  (+/-)</t>
  </si>
  <si>
    <t xml:space="preserve">   e) Otros pagos (cobros) (-/+)</t>
  </si>
  <si>
    <t>5. Flujos de efectivo de las actividades de explotación (1+2+3+4)</t>
  </si>
  <si>
    <t>B) FLUJOS DE EFECTIVO DE LAS ACTIVIDADES DE INVERSIÓN</t>
  </si>
  <si>
    <t>6. Pagos por inversiones (-)</t>
  </si>
  <si>
    <t xml:space="preserve">   a) Empresas del grupo y asociadas</t>
  </si>
  <si>
    <t xml:space="preserve">   b) Inmovilizado intangible</t>
  </si>
  <si>
    <t xml:space="preserve">   c) Inmovilizado material</t>
  </si>
  <si>
    <t xml:space="preserve">   d) Inversiones inmobiliarias</t>
  </si>
  <si>
    <t xml:space="preserve">   e) Otros activos financieros</t>
  </si>
  <si>
    <t xml:space="preserve">   f) Activos no corrientes mantenidos para venta</t>
  </si>
  <si>
    <t xml:space="preserve">   g) Unidad de negocio</t>
  </si>
  <si>
    <t xml:space="preserve">   h) Otros activos</t>
  </si>
  <si>
    <t>7. Cobros por desinversiones (+)</t>
  </si>
  <si>
    <t>8. Flujos de efectivo de las actividades de inversión (6+7)</t>
  </si>
  <si>
    <t>C) FLUJOS DE EFECTIVO DE LAS ACTIVIDADES DE FINANCIACIÓN</t>
  </si>
  <si>
    <t>9. Cobros y pagos por instrumentos de patrimonio</t>
  </si>
  <si>
    <t xml:space="preserve">   a) Emisión de instrumentos de patrimonio (+)</t>
  </si>
  <si>
    <t xml:space="preserve">   b) Amortización de instrumentos de patrimonio (-)</t>
  </si>
  <si>
    <t xml:space="preserve">   c) Adquisición de instrumentos de patrimonio propio (-)</t>
  </si>
  <si>
    <t xml:space="preserve">   d) Enajenación de instrumentos de patrimonio propio (+)</t>
  </si>
  <si>
    <t xml:space="preserve">   e) Subvenciones, donaciones y legados recibidos (+)</t>
  </si>
  <si>
    <t>10. Cobros y pagos por instrumentos de pasivo financiero</t>
  </si>
  <si>
    <t xml:space="preserve">   a) Emisión</t>
  </si>
  <si>
    <t xml:space="preserve">       1. Obligaciones y otros valores negociables (+)</t>
  </si>
  <si>
    <t xml:space="preserve">       2. Deudas con entidades de crédito (+)</t>
  </si>
  <si>
    <t xml:space="preserve">       3. Deudas con empresas del grupo y asociadas  (+)</t>
  </si>
  <si>
    <t xml:space="preserve">       4. Deudas con características especiales  (+)</t>
  </si>
  <si>
    <t xml:space="preserve">       5. Otras deudas  (+)</t>
  </si>
  <si>
    <t xml:space="preserve">   b) devolución y amortización de</t>
  </si>
  <si>
    <t xml:space="preserve">       1. Obligaciones y otros valores negociables (-)</t>
  </si>
  <si>
    <t xml:space="preserve">       2. Deudas con entidades de crédito (-)</t>
  </si>
  <si>
    <t xml:space="preserve">       3. Deudas con empresas del grupo y asociadas  (-)</t>
  </si>
  <si>
    <t xml:space="preserve">       4. Deudas con características especiales  (-)</t>
  </si>
  <si>
    <t xml:space="preserve">       5. Otras deudas  (-)</t>
  </si>
  <si>
    <t>11. Pagos por dividendos y remuneraciones de otros instrumentos de patrimonio</t>
  </si>
  <si>
    <t xml:space="preserve">   a) Dividendos (-)</t>
  </si>
  <si>
    <t xml:space="preserve">   b) remuneración de otros instrumentos  de patrimonio (-)</t>
  </si>
  <si>
    <t>12. Flujos de efectivo de las actividades de financiación (9+10+11)</t>
  </si>
  <si>
    <t>D) Efecto de las variaciones de los tipos de cambio</t>
  </si>
  <si>
    <t>E) AUMENTO/DISMINUCIÓN NETA DEL EFECTIVO O EQUIVALENTES (5+8+12+D)</t>
  </si>
  <si>
    <t xml:space="preserve">   Efectivo o equivalentes al comienzo del ejercicio</t>
  </si>
  <si>
    <t xml:space="preserve">   Efectivo o equivalentes al final del ejercicio</t>
  </si>
  <si>
    <t>Roque</t>
  </si>
  <si>
    <t>ALERTA BEI</t>
  </si>
  <si>
    <t>Deuda Financiera Neta / Patrimonio Neto</t>
  </si>
  <si>
    <t>Deuda Financiera Neta / EBITDA</t>
  </si>
  <si>
    <t>Deuda Financiera Neta</t>
  </si>
  <si>
    <t>EBITDA</t>
  </si>
  <si>
    <t>TRABAJO</t>
  </si>
  <si>
    <t>Adquisiciones</t>
  </si>
  <si>
    <t>Pendiente</t>
  </si>
  <si>
    <t>Sonia deslose</t>
  </si>
  <si>
    <t>Gabriel</t>
  </si>
  <si>
    <t>Final</t>
  </si>
  <si>
    <t>Check Mensualización</t>
  </si>
  <si>
    <t>Marzo</t>
  </si>
  <si>
    <t>Junio</t>
  </si>
  <si>
    <t>Septiembre</t>
  </si>
  <si>
    <t>Diciembre</t>
  </si>
  <si>
    <t>Open Bravo</t>
  </si>
  <si>
    <t>Valorar si poner aportacion de socios aytmto aquí</t>
  </si>
  <si>
    <t>BBVA 1</t>
  </si>
  <si>
    <t>BBVA 2</t>
  </si>
  <si>
    <t>BEI 1</t>
  </si>
  <si>
    <t>BEI 2</t>
  </si>
  <si>
    <t>Largo</t>
  </si>
  <si>
    <t>Corto</t>
  </si>
  <si>
    <t>EPÍGRAFES</t>
  </si>
  <si>
    <t>OCTUBRE</t>
  </si>
  <si>
    <t>NOVIEMBRE</t>
  </si>
  <si>
    <t>DICIEMBRE</t>
  </si>
  <si>
    <t>ENERO</t>
  </si>
  <si>
    <t>FEBRERO</t>
  </si>
  <si>
    <t>MARZO</t>
  </si>
  <si>
    <t>ABRIL</t>
  </si>
  <si>
    <t>MAYO</t>
  </si>
  <si>
    <t>JUNIO</t>
  </si>
  <si>
    <t>JULIO</t>
  </si>
  <si>
    <t>AGOSTO</t>
  </si>
  <si>
    <t>SEPTIEMBRE</t>
  </si>
  <si>
    <t>COBROS OPERATIVOS</t>
  </si>
  <si>
    <t>TESORERÍA INICIAL (1)</t>
  </si>
  <si>
    <t>INGRESOS POR RECAUDACIÓN</t>
  </si>
  <si>
    <t>INGRESOS POR PUBLICIDAD Y OTROS</t>
  </si>
  <si>
    <t>INGRESOS DEVOLUCIÓN IMPUESTO GASOIL</t>
  </si>
  <si>
    <t>TOTAL COBROS OPERATIVOS (2)</t>
  </si>
  <si>
    <t xml:space="preserve">PAGOS OPERATIVOS </t>
  </si>
  <si>
    <t>PROVEEDORES</t>
  </si>
  <si>
    <t>COMBUSTIBLE</t>
  </si>
  <si>
    <t>LUBRICANTES</t>
  </si>
  <si>
    <t>SEGURO FLOTA</t>
  </si>
  <si>
    <t>OTRAS PRIMAS DE SEGUROS</t>
  </si>
  <si>
    <t>OBRAS REFORMAS EDIFICIO COCHERAS</t>
  </si>
  <si>
    <t>GEURSA OBRA METRO GUAGUA</t>
  </si>
  <si>
    <t>ANTICIPOS DEL PERSONAL</t>
  </si>
  <si>
    <t>NÓMINAS</t>
  </si>
  <si>
    <t>PAGAS EXTRAS</t>
  </si>
  <si>
    <t>SEGURIDAD SOCIAL</t>
  </si>
  <si>
    <t>IRPF</t>
  </si>
  <si>
    <t>PRÉSTAMO BEI CONCEDIDO 31/10/17</t>
  </si>
  <si>
    <t>PRÉSTAMO BBVA GUAGUA ELÉCTRICA VTO 10</t>
  </si>
  <si>
    <t>PRÉSTAMO BBVA 17 SOLARIS BUS 12 M VTO 10</t>
  </si>
  <si>
    <t>PRÉSTAMO BANKIA 8 GUAGUAS MAN 18 METROS VTO 20</t>
  </si>
  <si>
    <t>PRÉSTAMO BANKIA 6 GUAGUAS MAN 18 METROS VTO 31</t>
  </si>
  <si>
    <t>TOTAL PAGOS OPERATIVOS (3)</t>
  </si>
  <si>
    <t>TESORERÍA FINAL OPERATIVA (1) + (2) + (3)  (4)</t>
  </si>
  <si>
    <t xml:space="preserve">COBROS SUBVENCIONES </t>
  </si>
  <si>
    <t>DÉFICIT EXPLOTACIÓN AYTO.</t>
  </si>
  <si>
    <t>DÉFICIT EXPLOTACIÓN (POR CUENTA AUTGC) AYTO.</t>
  </si>
  <si>
    <t>APORTACIÓN DE SOCIOS AYTO.</t>
  </si>
  <si>
    <t>TARIFARIAS ASUNTOS SOCIALES AYTO.</t>
  </si>
  <si>
    <t>TARIFARIAS EDUCACIÓN AYTO.</t>
  </si>
  <si>
    <t>TARIFARIAS TRÁFICO Y TRANSPORTES AYTO.</t>
  </si>
  <si>
    <t>TARIFARIAS EMPLEO AYTO.</t>
  </si>
  <si>
    <t>DÉFICIT EXPLOTACIÓN AUTGC</t>
  </si>
  <si>
    <t>INVERSIÓN AUTGC (METRO GUAGUA)</t>
  </si>
  <si>
    <t>TARIFARIA LPA MOVILIDAD</t>
  </si>
  <si>
    <t>TARIFARIA BONO RESIDENTE</t>
  </si>
  <si>
    <t>TARIFARIA WAWA JOVEN</t>
  </si>
  <si>
    <t>TOTAL COBROS SUBVENCIONES (5)</t>
  </si>
  <si>
    <t>TESORERÍA FINAL (4) + (5)</t>
  </si>
  <si>
    <t>Comportamiento de Gastos</t>
  </si>
  <si>
    <t>Materias primas y consumibles</t>
  </si>
  <si>
    <t>Nóminas</t>
  </si>
  <si>
    <t>Seguridad Social</t>
  </si>
  <si>
    <t>Servicios Exteriores</t>
  </si>
  <si>
    <t>Check Consistencia</t>
  </si>
  <si>
    <t>Tributos</t>
  </si>
  <si>
    <t>Mercaderias</t>
  </si>
  <si>
    <t>Otras Empresas</t>
  </si>
  <si>
    <t>Inversiones</t>
  </si>
  <si>
    <t>Préstamo Entrega</t>
  </si>
  <si>
    <t>Subvenciones pendientes de cobrar a cierre de año (Balance)</t>
  </si>
  <si>
    <t>Edificio y menores</t>
  </si>
  <si>
    <t>IPFF</t>
  </si>
  <si>
    <t>Resto de Tesorería</t>
  </si>
  <si>
    <t>CHECK CONSISTENCIA</t>
  </si>
  <si>
    <t>Q3 2019</t>
  </si>
  <si>
    <t>Cierre de año</t>
  </si>
  <si>
    <t xml:space="preserve">De los cuales </t>
  </si>
  <si>
    <t>Subvenciones pendientes</t>
  </si>
  <si>
    <t>Deuda a cierre 2020</t>
  </si>
  <si>
    <t>A largo plazo</t>
  </si>
  <si>
    <t>A corto plazo</t>
  </si>
  <si>
    <t>Cuadramos lo que descuadraba entre A=P</t>
  </si>
  <si>
    <t>SOCIEDADES MUNICIPALES.-  ficha nº 5</t>
  </si>
  <si>
    <t>Sociedad:</t>
  </si>
  <si>
    <t>Guaguas Municipales, S. A.</t>
  </si>
  <si>
    <t>NIF:</t>
  </si>
  <si>
    <t>A35092683</t>
  </si>
  <si>
    <t>PROGRAMA ANUAL DE ACTUACIÓN, INVERSIONES Y FINANCIACIÓN</t>
  </si>
  <si>
    <t>ANEXO DE INVERSIONES REALES</t>
  </si>
  <si>
    <t>Proyecto de Inversión</t>
  </si>
  <si>
    <t>Año inicio</t>
  </si>
  <si>
    <t>Año fin</t>
  </si>
  <si>
    <t>Coste Total (€)</t>
  </si>
  <si>
    <t>Programación plurianual (€)</t>
  </si>
  <si>
    <t>Código</t>
  </si>
  <si>
    <t xml:space="preserve">    Denominación</t>
  </si>
  <si>
    <t>ANEXO DE INVERSIONES FINANCIERAS</t>
  </si>
  <si>
    <t>SOCIEDADES MUNICIPALES.-  ficha nº 6</t>
  </si>
  <si>
    <t>Clasificación económica según EHA/3565/2008</t>
  </si>
  <si>
    <t>CONCEPTO</t>
  </si>
  <si>
    <t>FINANCIACIÓN (€)</t>
  </si>
  <si>
    <t>RECURSOS PROPIOS (€)</t>
  </si>
  <si>
    <t>AYUNTAMIENTO (€)</t>
  </si>
  <si>
    <t>OTROS ENTES (ESPECIFICAR)</t>
  </si>
  <si>
    <t>Entidades de Crédito (€)</t>
  </si>
  <si>
    <t>Autoridad Unica del Transporte de Gran Canaria (€)</t>
  </si>
  <si>
    <t>Banco Europeo de Inversiones (€)</t>
  </si>
  <si>
    <t>626/641</t>
  </si>
  <si>
    <t>OBSERVACIONES:</t>
  </si>
  <si>
    <t>SOCIEDADES MUNICIPALES.-  ficha nº 7</t>
  </si>
  <si>
    <t>OBJETIVOS Y RENTAS</t>
  </si>
  <si>
    <t>MAGNITUD</t>
  </si>
  <si>
    <t>Viajeros totales</t>
  </si>
  <si>
    <t>Viajeros 1ª etapa</t>
  </si>
  <si>
    <t>% viajeros 1ª etapa</t>
  </si>
  <si>
    <t>Viajeros 2ª etapa (transbordo)</t>
  </si>
  <si>
    <t>% viajeros 2ª etapa</t>
  </si>
  <si>
    <t>Ventas por prestación de servicios</t>
  </si>
  <si>
    <t>Kilómetros recorridos totales (servicio + vacío)</t>
  </si>
  <si>
    <t>Kilómetros recorridos en servicio</t>
  </si>
  <si>
    <t>Kilómetros recorridos en vacío</t>
  </si>
  <si>
    <t>Tarifa Media (sobre total de viajeros)</t>
  </si>
  <si>
    <t>Cifra de Negocios</t>
  </si>
  <si>
    <t>Importe de la Cifra de Negocios sobre total de viajeros</t>
  </si>
  <si>
    <t>Viajeros por kilómetro recorrido totales</t>
  </si>
  <si>
    <t>Viajeros por kilómetro recorrido en servicio</t>
  </si>
  <si>
    <t>Coste Total</t>
  </si>
  <si>
    <t>Costes de Explotación</t>
  </si>
  <si>
    <t>Costes Financieros</t>
  </si>
  <si>
    <t>Coste Total por kilómetros recorridos totales</t>
  </si>
  <si>
    <t>Coste Total por Kilómetro recorrido en servicio</t>
  </si>
  <si>
    <t>Coste Total por Kilómetro recorrido en vacío</t>
  </si>
  <si>
    <t>Coste Total por viajero</t>
  </si>
  <si>
    <t>Coste de Explotación por kilómetro recorrido</t>
  </si>
  <si>
    <t>Coste de Explotación por kilómetro recorrido en servicio</t>
  </si>
  <si>
    <t>Coste de Explotación por kilómetro recorrido en vacío</t>
  </si>
  <si>
    <t>Coste de Explotación por viajero</t>
  </si>
  <si>
    <t>Coste Financiero por kilómetro recorrido</t>
  </si>
  <si>
    <t>Coste Financiero por kilómetro recorrido en servicio</t>
  </si>
  <si>
    <t>Coste Financiero por kilómetro recorrido en vacío</t>
  </si>
  <si>
    <t>Coste Financiero por viajero</t>
  </si>
  <si>
    <t>Número de Líneas de la red</t>
  </si>
  <si>
    <t>Coste Total por Línea</t>
  </si>
  <si>
    <t>Coste de Explotación por Línea</t>
  </si>
  <si>
    <t>Coste Financiero por Línea</t>
  </si>
  <si>
    <t>ORDEN HAP/2075/2014  de 6 de noviembre, por la que se establecen los criterios de cálculo del Coste Efectivo de los servicios prestados por las entidades locales.</t>
  </si>
  <si>
    <t>Coste Efectivo</t>
  </si>
  <si>
    <t>Costes Directos</t>
  </si>
  <si>
    <t>Aprovisionamientos</t>
  </si>
  <si>
    <t>Gastos de Personal</t>
  </si>
  <si>
    <t>Otros Gastos de Explotación</t>
  </si>
  <si>
    <t>Amortización del Inmovilizado</t>
  </si>
  <si>
    <t>Otros gastos no financieros relacionados con el servicio no recogidos en apartados anteriores</t>
  </si>
  <si>
    <t>Costes Indirectos</t>
  </si>
  <si>
    <t>Ingreso Total</t>
  </si>
  <si>
    <t>Ingresos de Explotación</t>
  </si>
  <si>
    <t>Ingresos Financieros</t>
  </si>
  <si>
    <t>Ingreso Total por kilómetros recorridos totales</t>
  </si>
  <si>
    <t>Ingreso Total por Kilómetro recorrido en servicio</t>
  </si>
  <si>
    <t>Ingreso Total por Kilómetro recorrido en vacío</t>
  </si>
  <si>
    <t>Ingreso Total por viajero</t>
  </si>
  <si>
    <t>Ingreso de Explotación por kilómetro recorrido</t>
  </si>
  <si>
    <t>Ingreso de Explotación por kilómetro recorrido en servicio</t>
  </si>
  <si>
    <t>Ingreso de Explotación por kilómetro recorrido en vacío</t>
  </si>
  <si>
    <t>Ingreso de Explotación por viajero</t>
  </si>
  <si>
    <t>Ingreso Financiero por kilómetro recorrido</t>
  </si>
  <si>
    <t>Ingreso Financiero por kilómetro recorrido en servicio</t>
  </si>
  <si>
    <t>Ingreso Financiero por kilómetro recorrido en vacío</t>
  </si>
  <si>
    <t>Ingreso Financiero por viajero</t>
  </si>
  <si>
    <t>Ingreso Total por Línea</t>
  </si>
  <si>
    <t>Ingreso de Explotación por Línea</t>
  </si>
  <si>
    <t>Ingreso Financiero por Línea</t>
  </si>
  <si>
    <t>Recursos Propios</t>
  </si>
  <si>
    <t>Subvenciones Tarifarias</t>
  </si>
  <si>
    <t>Subvenciones al Déficit de Explotación</t>
  </si>
  <si>
    <t xml:space="preserve">Imputación de Subvenciones de Capital incorporadas a resultados del ejercicio </t>
  </si>
  <si>
    <t xml:space="preserve">   Renta Neta</t>
  </si>
  <si>
    <t xml:space="preserve">      Amortizaciones</t>
  </si>
  <si>
    <t xml:space="preserve">      Provisiones</t>
  </si>
  <si>
    <t xml:space="preserve">Deterioro y resultado </t>
  </si>
  <si>
    <t xml:space="preserve">      Renta Bruta</t>
  </si>
  <si>
    <t>SOCIEDADES MUNICIPALES.-  ficha nº 8</t>
  </si>
  <si>
    <t>IMPORTE TOTAL</t>
  </si>
  <si>
    <t>FINANCIACIÓN</t>
  </si>
  <si>
    <t>RECURSOS PROPIOS</t>
  </si>
  <si>
    <t>AYUNTAMIENTO</t>
  </si>
  <si>
    <t>Autoridad Unica del Transporte de Gran Canaria</t>
  </si>
  <si>
    <t>TRANSPORTE PUBLICO REGULAR COLECTIVO DE VIAJEROS</t>
  </si>
  <si>
    <t>INGRESOS POR PRESTACION DE SERVICIOS</t>
  </si>
  <si>
    <t>OTROS INGRESOS (ACCESORIOS Y OTROS DE GESTION CORRIENTE)</t>
  </si>
  <si>
    <t>INGRESOS FINANCIEROS</t>
  </si>
  <si>
    <t>IMPUTACION DE SUBVENCIONES DE CAPITAL INCORPORADAS A RESULTADOS DEL EJERCICIO</t>
  </si>
  <si>
    <t>SOCIEDADES MUNICIPALES.-  ficha nº 9</t>
  </si>
  <si>
    <t>SOCIEDADES MUNICIPALES.-  ficha nº 14</t>
  </si>
  <si>
    <t>DOTACIÓN DE PLANTILLAS Y RETRIBUCIONES</t>
  </si>
  <si>
    <t>Sectores a considerar</t>
  </si>
  <si>
    <t>X</t>
  </si>
  <si>
    <t>Administración General y resto de sectores</t>
  </si>
  <si>
    <t>Sector de asistencia social y de dependencia</t>
  </si>
  <si>
    <t>Sector sanitario</t>
  </si>
  <si>
    <t>Educativo universitario</t>
  </si>
  <si>
    <t>Educativo no universitario</t>
  </si>
  <si>
    <t>( Se cumplimentará un cuadro por cada uno de los sectores de actividad de la Entidad)</t>
  </si>
  <si>
    <t>Datos de Plantillas y retribuciones de un determinado sector</t>
  </si>
  <si>
    <t>Sector:</t>
  </si>
  <si>
    <t>Transporte regular colectivo de viajeros</t>
  </si>
  <si>
    <t>(2)</t>
  </si>
  <si>
    <t>Número total de efectivos</t>
  </si>
  <si>
    <t>(3)</t>
  </si>
  <si>
    <t>Importe total de Gastos</t>
  </si>
  <si>
    <t>(4)</t>
  </si>
  <si>
    <t>Gastos distribuidos por grupos de personal</t>
  </si>
  <si>
    <t>(Importes en €)</t>
  </si>
  <si>
    <t>Grupo de personal</t>
  </si>
  <si>
    <t>Número de efectivos</t>
  </si>
  <si>
    <t>Retribuciones distribuidas por grupos</t>
  </si>
  <si>
    <t>Sueldos y salarios</t>
  </si>
  <si>
    <t>Retribución variable</t>
  </si>
  <si>
    <t>Planes de pensiones</t>
  </si>
  <si>
    <t>Otras retribuciones</t>
  </si>
  <si>
    <t>Total retribuciones</t>
  </si>
  <si>
    <t>Órganos de Gobierno</t>
  </si>
  <si>
    <t>Máximos responsables</t>
  </si>
  <si>
    <t>Resto de personal directivo</t>
  </si>
  <si>
    <t>Laboral contrato indefinido</t>
  </si>
  <si>
    <t>Laboral duración determinada</t>
  </si>
  <si>
    <t>Otro personal</t>
  </si>
  <si>
    <t>Total (5)</t>
  </si>
  <si>
    <t>(5)</t>
  </si>
  <si>
    <t xml:space="preserve">Gastos comunes sin distribuir por grupos </t>
  </si>
  <si>
    <t>Importe</t>
  </si>
  <si>
    <t>Acción Social</t>
  </si>
  <si>
    <t>Seguridad social</t>
  </si>
  <si>
    <t>Total gastos comunes</t>
  </si>
  <si>
    <t>Observaciones</t>
  </si>
  <si>
    <t>Notas:</t>
  </si>
  <si>
    <t>(2) Campo de selección para que el usuario seleccione el sector para el que va a introducir/actualizar/consultar información</t>
  </si>
  <si>
    <t>(3) Se corresponde con el "Total nº de efectivos" que aparece en el cuadro (5)</t>
  </si>
  <si>
    <t>(4) Se corresponde con el "Total de retribuciones" que aparece en el cuadro (5) + "Total de gastos comunes" (6)</t>
  </si>
  <si>
    <t>SOCIEDADES MUNICIPALES.-  ficha nº 13</t>
  </si>
  <si>
    <t>TRANSFERENCIAS Y SUBVENCIONES PROCEDENTES DEL AYUNTAMIENTO DE LAS PALMAS DE GRAN CANARIA</t>
  </si>
  <si>
    <t>SUBVENCIONES</t>
  </si>
  <si>
    <t>IMPORTE</t>
  </si>
  <si>
    <t>DE CAPITAL:</t>
  </si>
  <si>
    <t>APORTACION DE SOCIOS</t>
  </si>
  <si>
    <t>CORRIENTES:</t>
  </si>
  <si>
    <t>1.- SUBVENCIONES PARA REDUCIR EL PRECIO A PAGAR POR LOS CONSUMIDORES (SUBVENCIONES TARIFARIAS)</t>
  </si>
  <si>
    <t>BONO JUBILADO-BONO GUAGUAS GLOBAL JUBILADO</t>
  </si>
  <si>
    <t>BONO FAMILIA NUMEROSA GENERAL-BONO GUAGUAS GLOBAL FAMILIA NUMEROSA GENERAL</t>
  </si>
  <si>
    <t>BONO FAMILIA NUMEROSA ESPECIAL-BONO GUAGUAS GLOBAL FAMILIA NUMEROSA ESPECIAL</t>
  </si>
  <si>
    <t>BONO SOLIDARIO-BONO GUAGUAS GLOBAL SOLIDARIO</t>
  </si>
  <si>
    <t>BONO LPAMOVILIDAD-BONO GUAGUAS-GLOBAL LPAMOVILIDAD</t>
  </si>
  <si>
    <t xml:space="preserve">2.- SUBVENCIONES AL DÉFICIT </t>
  </si>
  <si>
    <t>TRANSFERENCIAS Y SUBVENCIONES PROCEDENTES DE OTROS ENTES</t>
  </si>
  <si>
    <t xml:space="preserve">   * OTRAS CORPORACIONES LOCALES</t>
  </si>
  <si>
    <t xml:space="preserve">   * COMUNIDAD AUTÓNOMA</t>
  </si>
  <si>
    <t xml:space="preserve">   * ESTADO</t>
  </si>
  <si>
    <t xml:space="preserve">   * OTROS ENTES (AUTORIDAD UNICA DEL TRANSPORTE DE GRAN CANARIA) PROYECTO METROGUAGUA</t>
  </si>
  <si>
    <t xml:space="preserve">   * OTROS ENTES (AUTORIDAD UNICA DEL TRANSPORTE DE GRAN CANARIA) ADQUISICION DE FLOTA</t>
  </si>
  <si>
    <t xml:space="preserve"> * OTROS ENTES</t>
  </si>
  <si>
    <t xml:space="preserve">AUTORIDAD UNICA DEL TRANSPORTE DE GRAN CANARIA (APORTACION AL DEFICIT DE EXPLOTACION) </t>
  </si>
  <si>
    <t xml:space="preserve">AUTORIDAD UNICA DEL TRANSPORTE DE GRAN CANARIA (APORTACION TARIFARIA) </t>
  </si>
  <si>
    <t>APORTACION TARIFARIA BONO LPAMOVILIDAD</t>
  </si>
  <si>
    <t>SOCIEDADES MUNICIPALES.-  ficha nº 12</t>
  </si>
  <si>
    <t>ESTADO DE MOVIMIENTOS Y SITUACIÓN DE LA DEUDA</t>
  </si>
  <si>
    <t xml:space="preserve">     CONCEPTO</t>
  </si>
  <si>
    <t>NOTAS</t>
  </si>
  <si>
    <t>Crédito disponible</t>
  </si>
  <si>
    <t>Amortizaciones</t>
  </si>
  <si>
    <t>Intereses y gastos financieros</t>
  </si>
  <si>
    <t>Deuda Viva (5) = (1)+(2)-(3)-(4)</t>
  </si>
  <si>
    <t>EMISIONES</t>
  </si>
  <si>
    <t>Emisiones a c/p (en euros)</t>
  </si>
  <si>
    <t>Emisiones a c/p (en moneda distinta al euro)</t>
  </si>
  <si>
    <t>Emisiones a l/p (en euros)</t>
  </si>
  <si>
    <t>Emisiones a l/p (en moneda distinta al euro)</t>
  </si>
  <si>
    <t>OPERACIONES CON ENTIDADES DE CRÉDITO</t>
  </si>
  <si>
    <t>Con Entidades de Crédito Residentes</t>
  </si>
  <si>
    <t>Dispuesto en el ejercicio recoge, además de la deuda en la ficha 6 la deuda que se contrae por las 8 MAN 18 mtos. Y las 17 Solaris de 12 Matos. Que se reciben en 2019 y que estaban adjudicadas en 2018. Además recoge a diciembre las 60 guaguas en Leasing cuya financiación se firma en dicho mes, con lo que de los 11,890 millones de deuda inicial sólo se habría amortizado en cuota anticipada en diciembre 0,120 millones.</t>
  </si>
  <si>
    <t>Créditos a c/p (en euros)</t>
  </si>
  <si>
    <t>Créditos a c/p (en moneda distinta al euro)</t>
  </si>
  <si>
    <t>Créditos a l/p (en euros) sin operación de derivados asociadas</t>
  </si>
  <si>
    <t>Créditos a l/p (en euros) con operación de derivados asociadas</t>
  </si>
  <si>
    <t>Créditos a l/p (en moneda distinta al euro) sin operación de derivados asociada</t>
  </si>
  <si>
    <t>Créditos a l/p (en moneda distinta al euro) con operación de derivados asociada</t>
  </si>
  <si>
    <t>Créditos con E.C. residentes en países Unión Europea</t>
  </si>
  <si>
    <t>Créditos con E.C. residentes en países fuera de la Unión Europea</t>
  </si>
  <si>
    <t>Factoring sin recurso</t>
  </si>
  <si>
    <t>Avales ejecutados</t>
  </si>
  <si>
    <t>Entidades dependientes  ( Administraciones Públicas)</t>
  </si>
  <si>
    <t xml:space="preserve">Resto de Entidades dependientes  </t>
  </si>
  <si>
    <t xml:space="preserve">Entidades no dependientes </t>
  </si>
  <si>
    <t>Deudas con Administraciones Públicas</t>
  </si>
  <si>
    <t>Con la Administración General del Estado</t>
  </si>
  <si>
    <t>Con la Comunidad Autónoma</t>
  </si>
  <si>
    <t>Con la Seguridad Social</t>
  </si>
  <si>
    <t>Con la AEAT</t>
  </si>
  <si>
    <t>Con otras Administraciones Públicas</t>
  </si>
  <si>
    <t>Otras operaciones de crédito</t>
  </si>
  <si>
    <t>Arrendamientos financieros</t>
  </si>
  <si>
    <t>Pagos aplazados</t>
  </si>
  <si>
    <t>Inversiones con abono total de precio</t>
  </si>
  <si>
    <t>Asociación público privadas (APPs)</t>
  </si>
  <si>
    <t xml:space="preserve">Otras </t>
  </si>
  <si>
    <t>APORTACION TARIFARIA BONO GUAGUA JOVEN (BONO GRAN CANARIA JOVEN) + BONO RESIDENTE + BONO ORO</t>
  </si>
  <si>
    <t>TARIFARIAS AUTGC (CONVENIO BONOS 2019)</t>
  </si>
  <si>
    <t>BONO SAGULPA</t>
  </si>
  <si>
    <t>TÍTULO DE VIAJE</t>
  </si>
  <si>
    <t>VIAJEROS AÑO ANTERIOR</t>
  </si>
  <si>
    <t>INCREMENTO DE VIAJEROS</t>
  </si>
  <si>
    <t>INCREMENTO %</t>
  </si>
  <si>
    <t>TOTAL VIAJEROS</t>
  </si>
  <si>
    <t>VIAJEROS (EN MILES)</t>
  </si>
  <si>
    <t>SOCIEDADES MUNICIPALES.-  ficha nº 1</t>
  </si>
  <si>
    <t>BALANCE</t>
  </si>
  <si>
    <t>CNAE: 4931</t>
  </si>
  <si>
    <t>Fecha de aprobación de los estados financieros iniciales</t>
  </si>
  <si>
    <t>SOCIEDADES MUNICIPALES.-  ficha nº 2</t>
  </si>
  <si>
    <t>SOCIEDADES MUNICIPALES.-  ficha nº 4</t>
  </si>
  <si>
    <t>PRESUPUESTO DE CAPITAL. ESTADO DE FLUJOS DE EFECTIVO</t>
  </si>
  <si>
    <t>Compra Merchandising</t>
  </si>
  <si>
    <t>Compra EPIS</t>
  </si>
  <si>
    <t>Soportes Carnets</t>
  </si>
  <si>
    <t>Consultoría Compras y Compliance</t>
  </si>
  <si>
    <t>Viajes a Congresos ya conocidos</t>
  </si>
  <si>
    <t>Orlando Canino - Convenio Bonos 2019</t>
  </si>
  <si>
    <t>Imputación a Cuenta de Resultados de Facturas Civitas y Subvenciones</t>
  </si>
  <si>
    <t>Subvención</t>
  </si>
  <si>
    <t>Factor Correción con LPA M</t>
  </si>
  <si>
    <t>Presupuesto 2021</t>
  </si>
  <si>
    <t>SERVICIOS DE LIMPIEZA</t>
  </si>
  <si>
    <t xml:space="preserve">SERVICIOS DE SEGURIDAD </t>
  </si>
  <si>
    <t>MANTENIMIENTO GENERAL EDIFICIO AREQUIPA</t>
  </si>
  <si>
    <t>MANTENIMIENTO TERMINALES</t>
  </si>
  <si>
    <t>MANTENIMIENTO SOLAR MILITARES</t>
  </si>
  <si>
    <t>GASTOS DE VIAJE, ESTANCIA, COMIDAS, REPRESENTACIÓN, DESPLAZAMIENTOS</t>
  </si>
  <si>
    <t>CONSUMO DE ELECTRICIDAD TERMINALES</t>
  </si>
  <si>
    <t>CONTROL DE PLAGAS</t>
  </si>
  <si>
    <t>GESTIÓN DE RESIDUOS</t>
  </si>
  <si>
    <t>SOLICITUD DE INFORMACION SOBRE TERCEROS</t>
  </si>
  <si>
    <t>Paso Inferior Santa Catalina</t>
  </si>
  <si>
    <t>SUBVENCION CIVITAS DESTINATION</t>
  </si>
  <si>
    <t>Mensualización Gasoil</t>
  </si>
  <si>
    <t>Mensualización Gastos de Personal</t>
  </si>
  <si>
    <t>De los cuales Incr. Salarial</t>
  </si>
  <si>
    <t>De los cuales P. Extra JSD</t>
  </si>
  <si>
    <t>De los cuales P. Extra Marzo</t>
  </si>
  <si>
    <t>Cash Out</t>
  </si>
  <si>
    <t>Pagas Extras</t>
  </si>
  <si>
    <t>Según P G. Personal</t>
  </si>
  <si>
    <t>Provi a Sep 2020</t>
  </si>
  <si>
    <t>Dic-Nov</t>
  </si>
  <si>
    <t>Oct-May</t>
  </si>
  <si>
    <t>Oct-Ago</t>
  </si>
  <si>
    <t>Promedio % IRPF</t>
  </si>
  <si>
    <t>Promedio Seguros Sociales</t>
  </si>
  <si>
    <t>Depurando efecto Pagas Extras…</t>
  </si>
  <si>
    <t>Oct-Nov</t>
  </si>
  <si>
    <t>OPA Educación 2019</t>
  </si>
  <si>
    <t>&lt;=2020</t>
  </si>
  <si>
    <t>PQC</t>
  </si>
  <si>
    <t>Préstamo BEI Santa Catalina</t>
  </si>
  <si>
    <t>Paradas y Equipamiento (Proyecto METROGUAGUA)</t>
  </si>
  <si>
    <t>BEI Santa Catalina</t>
  </si>
  <si>
    <t>Cuadre Equilibrio Presupuestario</t>
  </si>
  <si>
    <t>Software de análisis de cumplimiento servicio (Swifty)</t>
  </si>
  <si>
    <t>Sortware de anális de trayectos y líneas (Remix)</t>
  </si>
  <si>
    <t>Inm Inicio 2021</t>
  </si>
  <si>
    <t>Inmovilizado Fin 2021</t>
  </si>
  <si>
    <t>Nuevas Inversiones</t>
  </si>
  <si>
    <t>Presupuesto 2022</t>
  </si>
  <si>
    <t>2021 Estimado</t>
  </si>
  <si>
    <t>∆ 2022-2021 Est-Pre</t>
  </si>
  <si>
    <t>2021 (estimado)</t>
  </si>
  <si>
    <t>Primera Estimación Julio</t>
  </si>
  <si>
    <t>Cierre 2021</t>
  </si>
  <si>
    <t>P2022</t>
  </si>
  <si>
    <t>x</t>
  </si>
  <si>
    <t>Responsable</t>
  </si>
  <si>
    <t>Gastos de Personal - Otros Gastos Sociales</t>
  </si>
  <si>
    <t>Departamentos + Ángel</t>
  </si>
  <si>
    <t>Inversiones/Amortizaciones</t>
  </si>
  <si>
    <t>Gasoil</t>
  </si>
  <si>
    <t>Hipótesis Ángel hasta que Plantilla Eduardo</t>
  </si>
  <si>
    <t>SERVICIOS SUPERVISIÓN SUBCONTRATAS</t>
  </si>
  <si>
    <t>ECOFIN</t>
  </si>
  <si>
    <t>Ángel/Gabriel: Máquinas liquidar (precio, otros servicios…), Gastos Financieros</t>
  </si>
  <si>
    <t>¿Por qué suben tanto Mapfre Vida + Caixa?</t>
  </si>
  <si>
    <t>Gemma - Mod. Canales 20.000€ 2021?</t>
  </si>
  <si>
    <t>MA - Asesoramiento metroguagua Inv-Serv Ext</t>
  </si>
  <si>
    <t>MA - 3Me Paradas???</t>
  </si>
  <si>
    <t>Trasladar comentarios MG primera reunión</t>
  </si>
  <si>
    <t>Las Obras YTD del edificio donde están? Ver bien plan obra edificio</t>
  </si>
  <si>
    <t xml:space="preserve"> Revisar otros inmov. En curso o BRT</t>
  </si>
  <si>
    <t>2022 Jun</t>
  </si>
  <si>
    <t>2022 Ago</t>
  </si>
  <si>
    <t>2022 Sep</t>
  </si>
  <si>
    <t>2022 Oct</t>
  </si>
  <si>
    <t>2022 Nov</t>
  </si>
  <si>
    <t>PRÉSTAMO CAIXABANK 6.330.120 €</t>
  </si>
  <si>
    <t>Préstamo Amortización (incluye amort confirming + gastos  bcarios)</t>
  </si>
  <si>
    <t>TARIFARIA OPAS EMPLEO (2019)</t>
  </si>
  <si>
    <t>Cambios</t>
  </si>
  <si>
    <t xml:space="preserve">Movimientos AR3 </t>
  </si>
  <si>
    <t>Movimientos PyG-AR2</t>
  </si>
  <si>
    <t>SUMA</t>
  </si>
  <si>
    <t>Cierre</t>
  </si>
  <si>
    <t>Por el IGIC</t>
  </si>
  <si>
    <t>Ingresos Pasajeros</t>
  </si>
  <si>
    <t>Ingresos Subvenciones Tarifarias</t>
  </si>
  <si>
    <t>Aprovisonamientos</t>
  </si>
  <si>
    <t>Gastos Personal</t>
  </si>
  <si>
    <t>AR1</t>
  </si>
  <si>
    <t>AR3</t>
  </si>
  <si>
    <t>IGIC</t>
  </si>
  <si>
    <t>El millón que está de menos en Otros deudores</t>
  </si>
  <si>
    <t>PRÉSTAMO BEI</t>
  </si>
  <si>
    <t>CONCESIÓN</t>
  </si>
  <si>
    <t>INTERES ANUAL</t>
  </si>
  <si>
    <t>INTERES SEMESTRAL</t>
  </si>
  <si>
    <t>BASE COMERCIAL</t>
  </si>
  <si>
    <t>PERIODO CARENCIA</t>
  </si>
  <si>
    <t>3 AÑOS</t>
  </si>
  <si>
    <t>6 SEMESTRES</t>
  </si>
  <si>
    <t>&lt;--se usa en la pestaña otros conceptos (gastos financieros)</t>
  </si>
  <si>
    <t xml:space="preserve">Instalaciones y maquinaria taller </t>
  </si>
  <si>
    <t>Adquisición y Desarrollos de Software Varios Departamentos</t>
  </si>
  <si>
    <t>Adquisición de Hardware (Servidores, Copias de Seguridad, CPUs…)</t>
  </si>
  <si>
    <t>Otros Administración</t>
  </si>
  <si>
    <t>Otros Desarrollos Tecnológicos</t>
  </si>
  <si>
    <t>BRT Prioridad Semafórica</t>
  </si>
  <si>
    <t>BONO GUAGUA JOVEN</t>
  </si>
  <si>
    <t>2022 (estimado)</t>
  </si>
  <si>
    <t xml:space="preserve"> P2022 </t>
  </si>
  <si>
    <t xml:space="preserve"> 2022 vs 2021 </t>
  </si>
  <si>
    <t xml:space="preserve"> 2022 vs P22 </t>
  </si>
  <si>
    <t xml:space="preserve"> Presupuesto 2023 </t>
  </si>
  <si>
    <t xml:space="preserve">                  -    </t>
  </si>
  <si>
    <t>CONSUMO DE AGUA EN TERMINALES</t>
  </si>
  <si>
    <t>LICENCIA SOFTWARE GMAO</t>
  </si>
  <si>
    <t>2022 Juli</t>
  </si>
  <si>
    <t>2022 Dic</t>
  </si>
  <si>
    <t>2023 Ene</t>
  </si>
  <si>
    <t>2023 Feb</t>
  </si>
  <si>
    <t>2023 Mar</t>
  </si>
  <si>
    <t>2023 Apr</t>
  </si>
  <si>
    <t>2023 May</t>
  </si>
  <si>
    <t>2023 Jun</t>
  </si>
  <si>
    <t>2023 Jul</t>
  </si>
  <si>
    <t>2023 Ago</t>
  </si>
  <si>
    <t>2023 Sep</t>
  </si>
  <si>
    <t>2023 Oct</t>
  </si>
  <si>
    <t>2023 Nov</t>
  </si>
  <si>
    <t>2023 Dec</t>
  </si>
  <si>
    <t>Proyecto Next Generation Agrupación Municipios</t>
  </si>
  <si>
    <t>Asesoramiento MetroGuagua (Consultoría)</t>
  </si>
  <si>
    <t>Ampliación instalación eléctrica</t>
  </si>
  <si>
    <t>Reforma Oficina Obelisco</t>
  </si>
  <si>
    <t xml:space="preserve">Actuaciones Terminal Las Arenas </t>
  </si>
  <si>
    <t>Vehículos auxiliares</t>
  </si>
  <si>
    <t>Reforma Manuel Becera</t>
  </si>
  <si>
    <t>Redaccón Proyecto Rafael Cabrera (METROGUAGUA)</t>
  </si>
  <si>
    <t>Renovación Máquinas Liquidación</t>
  </si>
  <si>
    <t>Obra Cocheras y Oficinas</t>
  </si>
  <si>
    <t>Actuaciones Terminal Teatro</t>
  </si>
  <si>
    <t>Guaguas Eléctricas 12 metros - 4 unidades</t>
  </si>
  <si>
    <t xml:space="preserve">Guaguas Eléctricas 10 metros - 6 unidades </t>
  </si>
  <si>
    <t>Guaguas Hidrógeno 12 metros - 1 unidad</t>
  </si>
  <si>
    <t>Guaguas 21 metros - 10 unidades</t>
  </si>
  <si>
    <t>Fondos Next Generation</t>
  </si>
  <si>
    <t>Guaguas 18 metros - 20 unidades</t>
  </si>
  <si>
    <t>Guaguas 12 metros - 10 unidades</t>
  </si>
  <si>
    <t>(1) Aportación del Ayuntamiento de Las Palmas de Gran Canaria al Contrato Programa (C. P.), de los 3.178,245,42 € que constituyen la aportación municipal al CP 2021-2024 a través de la Autoridad Unica del Transporte de Gran Canaria Guaguas Municipales recibe 3.050.688,76 €, el resto (127.556,66 €) se destina a la financiación de la Autoridad Unica del Transporte de Gran Canaria según acuerdo de la Junta de Gobierno de la Autoridad Unica del Transporte de Gran Canaria de 20 de marzo de 2015. Dichos importes son entregas a cuenta del CP 2021-2024 en proceso de negociación. Dicho importe se recoge en las aportaciones del Ayuntamiento.</t>
  </si>
  <si>
    <t xml:space="preserve"> SUBVENCIONES AL DEFICIT DE EXPLOTACION (1)</t>
  </si>
  <si>
    <t xml:space="preserve">SUBVENCIONES TARIFARIAS </t>
  </si>
  <si>
    <r>
      <t xml:space="preserve">Deuda  viva </t>
    </r>
    <r>
      <rPr>
        <b/>
        <vertAlign val="superscript"/>
        <sz val="10"/>
        <color indexed="8"/>
        <rFont val="Arial"/>
        <family val="2"/>
      </rPr>
      <t>(1)</t>
    </r>
  </si>
  <si>
    <r>
      <t xml:space="preserve">Dispuesto en el ejercicio </t>
    </r>
    <r>
      <rPr>
        <b/>
        <vertAlign val="superscript"/>
        <sz val="10"/>
        <color indexed="8"/>
        <rFont val="Arial"/>
        <family val="2"/>
      </rPr>
      <t>(2)</t>
    </r>
  </si>
  <si>
    <r>
      <t xml:space="preserve">Ordinaria s/contrato </t>
    </r>
    <r>
      <rPr>
        <b/>
        <vertAlign val="superscript"/>
        <sz val="10"/>
        <color indexed="8"/>
        <rFont val="Arial"/>
        <family val="2"/>
      </rPr>
      <t>(3)</t>
    </r>
  </si>
  <si>
    <r>
      <t xml:space="preserve">Extraordinaria </t>
    </r>
    <r>
      <rPr>
        <b/>
        <vertAlign val="superscript"/>
        <sz val="10"/>
        <color indexed="8"/>
        <rFont val="Arial"/>
        <family val="2"/>
      </rPr>
      <t>(4)</t>
    </r>
  </si>
  <si>
    <r>
      <t xml:space="preserve">A) </t>
    </r>
    <r>
      <rPr>
        <b/>
        <sz val="10"/>
        <color indexed="8"/>
        <rFont val="Arial"/>
        <family val="2"/>
      </rPr>
      <t xml:space="preserve"> OPERACIONES CONTINUADAS</t>
    </r>
  </si>
  <si>
    <t>A.2)  RESULTADO FINANCIERO (14+15+16+17+18+19)</t>
  </si>
  <si>
    <t>A.3)  RESULTADO ANTES DE IMPUESTOS (A.1+A.2)</t>
  </si>
  <si>
    <t>A.4)  RESULTADO DEL EJERCICIO PROCEDCEDENTE DE OPERACIONES CONTINUADAS (A.3+20)</t>
  </si>
  <si>
    <r>
      <rPr>
        <b/>
        <sz val="10"/>
        <color theme="1"/>
        <rFont val="Arial"/>
        <family val="2"/>
      </rPr>
      <t>OBSERVAVIONES</t>
    </r>
    <r>
      <rPr>
        <sz val="10"/>
        <color theme="1"/>
        <rFont val="Arial"/>
        <family val="2"/>
      </rPr>
      <t>:  La realización de las inversiones "Proyectos Next Generation Agrupación de Municipios" queda supeditada a la llegada de los fondos europeos.</t>
    </r>
  </si>
  <si>
    <r>
      <t xml:space="preserve">IMPORTE TOTAL </t>
    </r>
    <r>
      <rPr>
        <b/>
        <sz val="10"/>
        <color indexed="8"/>
        <rFont val="Arial"/>
        <family val="2"/>
      </rPr>
      <t>(€)</t>
    </r>
  </si>
  <si>
    <r>
      <t xml:space="preserve">RENTAS GENERADAS O QUE SE ESPERAN GENERAR </t>
    </r>
    <r>
      <rPr>
        <b/>
        <vertAlign val="superscript"/>
        <sz val="10"/>
        <color indexed="8"/>
        <rFont val="Arial"/>
        <family val="2"/>
      </rPr>
      <t>(en euros)</t>
    </r>
  </si>
  <si>
    <t>3253100.91</t>
  </si>
  <si>
    <t xml:space="preserve">INDICADORES DE RESULTADOS Y DE GESTIÓN </t>
  </si>
  <si>
    <t>A continuación y resumidamente, como cada año, pasamos a explicitar los principales objetivos y actuaciones que pretendemos desarrollar durante el año 2023 que recién comienza, y que nos alinea con nuestro Plan Estratégico:
1.- Seguir con nuestro permanente esfuerzo de mejorar la fiabilidad de nuestro servicio, y en paralelo, adaptarnos  continuamentea las neuvas pautas de movilidad que detectamos en una ciudad tan dinámica y vital como la que nos ha tocado en suerte habitar. Para el logro de este ambicionso objetivo, hemos de dotarnos necesariamente de nuevos recursos de todo tipo, fundamentalmente, recursos humanos y materiales, por lo que recientemente hemos procedido a contratar 4 nuevos electromecánicos para reforzar nuestro taller e incrementar los porcentajes de disponibilidad de nuestra actual flota, hasta que nos lleguen los nuevos vehículos que hemos licitado, y adicionalmente en febrero incorporaremos 21 nuevos conductores. Cuando lleguenlos nuevos vehículos, después del verano, incorporaremos otros 15 conductores, lo que significará que en un periodo de escasamente dos años habremos contratado a 132 nuevos conductores.</t>
  </si>
  <si>
    <r>
      <rPr>
        <b/>
        <sz val="10"/>
        <color theme="1"/>
        <rFont val="Arial"/>
        <family val="2"/>
      </rPr>
      <t>2.-</t>
    </r>
    <r>
      <rPr>
        <sz val="10"/>
        <color theme="1"/>
        <rFont val="Arial"/>
        <family val="2"/>
      </rPr>
      <t xml:space="preserve"> Toda la legislación que en cascada proviene de la Inión Europea tiene como claro, y a nuestro juicio, acertado objetivo, lograr que las ciudades sean cada vez más amables, saludables y transitables por los ciudaddanos que las habitan y visitan, y eso pasa necesariamente por que el vehículo privado pierda protagonismo en el entrono estrictamente urbano y el ciudadano utilice cada vez más modods de desplazamientos sostenibles. Los únicos que estamos en disposición de contribuir a este cambio de hábitos en gran escala somos nosotros. Tenemos que afrontar por tanto un reto muy ambicioso y muy atractivo pero para poder hacerle frente se necesitan obligatoriamente ingentes recursos públicos, y nuestra labor es explicitarlo y allí donde aparezcan, ir a por ellos, y en eso estamos. Por eso, nuestro programa de inversiones para 2023 asciende a 44M€, cantidad cuyo destino se explicita concretamente en la ficha de inversiones que está incorporada en este documento, y que en grandes cifras se explican por los 14,6 M€ destinados al desarrollo del proyecto de la MetroGuagua (Deprimido de Santa Catalina y proyecto de priorización semafórica y paradas) y 19,5 M€ en inversión en vehículos, de los que probablemente algunos sean entregados en 2024, pero, en cualquier caso, una impresionante inversión.</t>
    </r>
  </si>
  <si>
    <r>
      <rPr>
        <b/>
        <sz val="10"/>
        <color theme="1"/>
        <rFont val="Arial"/>
        <family val="2"/>
      </rPr>
      <t>3.-</t>
    </r>
    <r>
      <rPr>
        <sz val="10"/>
        <color theme="1"/>
        <rFont val="Arial"/>
        <family val="2"/>
      </rPr>
      <t xml:space="preserve"> También en el año 2023 tenemos como claro objetivo redefinir nuestras nuevas necesidades de espacios, tanto para operar adecuadamente dentro de la ciudad, intentando materializar algunos proyectos ya en marcha y proyectando otros que nos posibiliten nuestros puntos de transbordo y conexiones. Con este objetivo nos hemos presentado a la convocatoria europea denominada Spine en la que participamos con otras 10 ciudades europeas, de las que 4 son líderes de dicho proyecto, entre ellas la nuestra, y existen otras 7 denominadas "espejo" o "gemelas" que se guiarán de nuestras prácticas para replicarlas. Esto, además de ayudarnos a conseguir un cierto volumen de financiación, nos ayudará a aprender y compartir experiencias con otros entornos que seguro nos enriquecerá. Adicionalmente, nuestras actuales instalaciones se están quedando claramente insuficientes, e independientemente de cuando entre en operación la Estación de hOya de la Plata, necesitaremos en el medio/corto plazo unas nuevas instalaciones complementarias a las del Sebadal. Esto que obviamente es potencialmente un problema, debe convertirse en una oportunidad para pder diseñar desde el principio una nueva instalación totalmente adecuada para la logística y mantenimiento de las nuevas unidades eléctricas de las que necesariamente nos deberemos de ir dotando en los próximos años. En paralelo, obviamente estamos adaptando nuestras actuales instalaciones para poder suministrar 30 nuevas unidades eléctricas, para lo que hemos destinado, como se puede ver en nuestro plan de inversiones, 1,5 M€, pero claramente no deja de ser una solución transitoria.</t>
    </r>
  </si>
  <si>
    <r>
      <rPr>
        <b/>
        <sz val="10"/>
        <color theme="1"/>
        <rFont val="Arial"/>
        <family val="2"/>
      </rPr>
      <t>4.-</t>
    </r>
    <r>
      <rPr>
        <sz val="10"/>
        <color theme="1"/>
        <rFont val="Arial"/>
        <family val="2"/>
      </rPr>
      <t xml:space="preserve"> Las relaciones y el necesario trabajo colaborativo que mantenemos y deberemos incrementar progresivamente con la Autoridad Única del Transporte (AUTGC), ya que los fondos que habrán de compensar la pérdida de ingresos derivada de la puesta en marcha de la gratuidad del transporte deberá ser compensada a través de las cantidades que nos aporte la misma procedentes de los fondos que reciba de la AGE vía CCAA. Para esto se habrá de firmar un Convenio que deberá regular el importe de dichas compensaciones, y que resultará clave para garantizar el equilibrio de nuestras cuentas anuales. Esperamos y necesitamos que en el primer trimestre de este año dicho Convenio quede adecuadamente cerrado a satisfacción de todas las partes, y el mismo deberá cubrir no solo la prevista pérdida de ingresos derivada de la implantación de dicha medida, sino adicionalmente deberá de incluir los costes suplementarios en los que tendremos que incurrir para poder prestar un adecuado servicio a los nuevos clientes que hagan uso de nuestro transporte. Por otro lado, y una vez superado el anterior reto, se hace necesario antes de que acabe la actual legislatura el cerrar adecuadamente la liquidación de los Contratos Programas pendientes de liquidar, que abarcan casi una década y que entendemos no debería generar mayor problema, pero debe ser un asunto a cerrar formalmente, y tenemos el compromiso de la AUTGC de que así será, este indudablemente será un objetivo fundamental a cumplir en el primer semestre del 2023.</t>
    </r>
  </si>
  <si>
    <r>
      <rPr>
        <b/>
        <sz val="10"/>
        <color theme="1"/>
        <rFont val="Arial"/>
        <family val="2"/>
      </rPr>
      <t>5.-</t>
    </r>
    <r>
      <rPr>
        <sz val="10"/>
        <color theme="1"/>
        <rFont val="Arial"/>
        <family val="2"/>
      </rPr>
      <t xml:space="preserve"> No podemos de dejar de mencionar brevemente que, procedente de los fondos Next Generación, vamos a poder implementar durante el 2023 importantes mejoras de prestaciones en nuestra flota y por tanto en la oferta que ponemos a disposición de nuestros clientes, incorporando pantallas informativas en todos nuestros vehículos, nuevos equipos de fonía, cámaras internas que mejoraran la seguridad de nuestros clientes y un conjunto de mejoras adicionales en la captación de datos que nos posibilitaran ir perfeccionando gradualmente nuestra oferta en el tiempo. Todas estas mejoras derivan del proyecto INNOBUS-TUR, en el que hemos participado conjuntamente con las empresas de transporte urbano de los Ayuntamientos de San Sebastián, Málaga y Palma de Mallorca, que nos ha posibilitado obtener fondos para nuestra empresa por importe de 5,4M€. Adicionalmente y también derivado de esta convocatoria de fondos hemos obtenido financiación para la adquisición de los 4 vehículos eléctricos y el vehículo de Hidrogeno que reflejamos en nuestro plan de inversiones.</t>
    </r>
  </si>
  <si>
    <r>
      <rPr>
        <b/>
        <sz val="10"/>
        <color theme="1"/>
        <rFont val="Arial"/>
        <family val="2"/>
      </rPr>
      <t xml:space="preserve">6.- </t>
    </r>
    <r>
      <rPr>
        <sz val="10"/>
        <color theme="1"/>
        <rFont val="Arial"/>
        <family val="2"/>
      </rPr>
      <t xml:space="preserve">Por último solo queda mencionar que los objetivos planteados para la Dirección General, derivado del contenido de su contrato siguen siendo como en los últimos años, el adecuado cumplimiento de los ratios económicos y financieros marcados por el Banco Europeo de Inversiones y contenidos en texto donde se encuentra recogido las condiciones de dicho préstamo y que, adicionalmente, son comprobados anualmente por nuestros auditores e incorporados a su informe. </t>
    </r>
  </si>
</sst>
</file>

<file path=xl/styles.xml><?xml version="1.0" encoding="utf-8"?>
<styleSheet xmlns="http://schemas.openxmlformats.org/spreadsheetml/2006/main">
  <numFmts count="13">
    <numFmt numFmtId="8" formatCode="#,##0.00\ &quot;€&quot;;[Red]\-#,##0.00\ &quot;€&quot;"/>
    <numFmt numFmtId="43" formatCode="_-* #,##0.00\ _€_-;\-* #,##0.00\ _€_-;_-* &quot;-&quot;??\ _€_-;_-@_-"/>
    <numFmt numFmtId="164" formatCode="_-* #,##0\ _€_-;\-* #,##0\ _€_-;_-* &quot;-&quot;??\ _€_-;_-@_-"/>
    <numFmt numFmtId="165" formatCode="0.0%"/>
    <numFmt numFmtId="166" formatCode="_-* #,##0.0000\ _€_-;\-* #,##0.0000\ _€_-;_-* &quot;-&quot;??\ _€_-;_-@_-"/>
    <numFmt numFmtId="167" formatCode="_-* #,##0.0000\ _€_-;\-* #,##0.0000\ _€_-;_-* &quot;-&quot;????\ _€_-;_-@_-"/>
    <numFmt numFmtId="168" formatCode="_-* #,##0.000\ _€_-;\-* #,##0.000\ _€_-;_-* &quot;-&quot;??\ _€_-;_-@_-"/>
    <numFmt numFmtId="169" formatCode="#,##0.0"/>
    <numFmt numFmtId="170" formatCode="#,##0.000"/>
    <numFmt numFmtId="171" formatCode="#,##0.0000"/>
    <numFmt numFmtId="172" formatCode="#,##0\ ;[Red]\-#,##0\ "/>
    <numFmt numFmtId="173" formatCode="#,##0.00\ ;[Red]\-#,##0.00\ "/>
    <numFmt numFmtId="174" formatCode="0.00000%"/>
  </numFmts>
  <fonts count="74">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8"/>
      <color theme="1"/>
      <name val="Calibri"/>
      <family val="2"/>
      <scheme val="minor"/>
    </font>
    <font>
      <b/>
      <sz val="16"/>
      <color theme="1"/>
      <name val="Calibri"/>
      <family val="2"/>
      <scheme val="minor"/>
    </font>
    <font>
      <b/>
      <sz val="18"/>
      <color theme="1"/>
      <name val="Calibri"/>
      <family val="2"/>
      <scheme val="minor"/>
    </font>
    <font>
      <sz val="8"/>
      <color theme="1"/>
      <name val="Calibri"/>
      <family val="2"/>
      <scheme val="minor"/>
    </font>
    <font>
      <sz val="10"/>
      <color rgb="FF000000"/>
      <name val="Calibri"/>
      <family val="2"/>
      <scheme val="minor"/>
    </font>
    <font>
      <b/>
      <sz val="12"/>
      <color rgb="FF000000"/>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sz val="12"/>
      <color theme="1"/>
      <name val="Calibri"/>
      <family val="2"/>
      <scheme val="minor"/>
    </font>
    <font>
      <sz val="10"/>
      <name val="MS Sans Serif"/>
      <family val="2"/>
    </font>
    <font>
      <sz val="11"/>
      <color theme="1"/>
      <name val="Arial"/>
      <family val="2"/>
    </font>
    <font>
      <sz val="10"/>
      <name val="Arial"/>
      <family val="2"/>
    </font>
    <font>
      <sz val="9"/>
      <color theme="1"/>
      <name val="Calibri"/>
      <family val="2"/>
      <scheme val="minor"/>
    </font>
    <font>
      <b/>
      <sz val="9"/>
      <color theme="1"/>
      <name val="Calibri"/>
      <family val="2"/>
      <scheme val="minor"/>
    </font>
    <font>
      <b/>
      <sz val="9"/>
      <color rgb="FF002060"/>
      <name val="Calibri"/>
      <family val="2"/>
      <scheme val="minor"/>
    </font>
    <font>
      <sz val="9"/>
      <color theme="9" tint="-0.249977111117893"/>
      <name val="Calibri"/>
      <family val="2"/>
      <scheme val="minor"/>
    </font>
    <font>
      <sz val="9"/>
      <color indexed="81"/>
      <name val="Tahoma"/>
      <family val="2"/>
    </font>
    <font>
      <b/>
      <sz val="9"/>
      <color indexed="81"/>
      <name val="Tahoma"/>
      <family val="2"/>
    </font>
    <font>
      <sz val="8"/>
      <name val="Calibri"/>
      <family val="2"/>
      <scheme val="minor"/>
    </font>
    <font>
      <b/>
      <sz val="8"/>
      <name val="Calibri"/>
      <family val="2"/>
      <scheme val="minor"/>
    </font>
    <font>
      <sz val="8"/>
      <color theme="9" tint="-0.249977111117893"/>
      <name val="Calibri"/>
      <family val="2"/>
      <scheme val="minor"/>
    </font>
    <font>
      <sz val="11"/>
      <color theme="9" tint="-0.249977111117893"/>
      <name val="Calibri"/>
      <family val="2"/>
      <scheme val="minor"/>
    </font>
    <font>
      <sz val="8"/>
      <color rgb="FFFF0000"/>
      <name val="Calibri"/>
      <family val="2"/>
      <scheme val="minor"/>
    </font>
    <font>
      <sz val="8"/>
      <color theme="0" tint="-0.34998626667073579"/>
      <name val="Calibri"/>
      <family val="2"/>
      <scheme val="minor"/>
    </font>
    <font>
      <u/>
      <sz val="11"/>
      <color theme="10"/>
      <name val="Calibri"/>
      <family val="2"/>
    </font>
    <font>
      <u/>
      <sz val="9"/>
      <color theme="10"/>
      <name val="Calibri"/>
      <family val="2"/>
    </font>
    <font>
      <b/>
      <sz val="12"/>
      <name val="Calibri"/>
      <family val="2"/>
      <scheme val="minor"/>
    </font>
    <font>
      <b/>
      <sz val="11"/>
      <color rgb="FFFF0000"/>
      <name val="Calibri"/>
      <family val="2"/>
      <scheme val="minor"/>
    </font>
    <font>
      <b/>
      <sz val="8"/>
      <color rgb="FFFF0000"/>
      <name val="Calibri"/>
      <family val="2"/>
      <scheme val="minor"/>
    </font>
    <font>
      <b/>
      <sz val="8"/>
      <color rgb="FF002060"/>
      <name val="Calibri"/>
      <family val="2"/>
      <scheme val="minor"/>
    </font>
    <font>
      <b/>
      <sz val="8"/>
      <color theme="9" tint="-0.249977111117893"/>
      <name val="Calibri"/>
      <family val="2"/>
      <scheme val="minor"/>
    </font>
    <font>
      <b/>
      <sz val="10"/>
      <color rgb="FFFF0000"/>
      <name val="Calibri"/>
      <family val="2"/>
      <scheme val="minor"/>
    </font>
    <font>
      <b/>
      <sz val="8"/>
      <color rgb="FF1A1A1A"/>
      <name val="Arial"/>
      <family val="2"/>
    </font>
    <font>
      <sz val="8"/>
      <color rgb="FF1A1A1A"/>
      <name val="Arial"/>
      <family val="2"/>
    </font>
    <font>
      <sz val="10"/>
      <color rgb="FFC00000"/>
      <name val="Calibri"/>
      <family val="2"/>
      <scheme val="minor"/>
    </font>
    <font>
      <b/>
      <sz val="14"/>
      <color rgb="FF000000"/>
      <name val="Calibri"/>
      <family val="2"/>
      <scheme val="minor"/>
    </font>
    <font>
      <b/>
      <sz val="10"/>
      <color rgb="FF000000"/>
      <name val="Calibri"/>
      <family val="2"/>
      <scheme val="minor"/>
    </font>
    <font>
      <sz val="10"/>
      <color theme="0" tint="-0.499984740745262"/>
      <name val="Calibri"/>
      <family val="2"/>
      <scheme val="minor"/>
    </font>
    <font>
      <b/>
      <sz val="10"/>
      <color rgb="FFC00000"/>
      <name val="Calibri"/>
      <family val="2"/>
      <scheme val="minor"/>
    </font>
    <font>
      <i/>
      <sz val="11"/>
      <color theme="9" tint="-0.249977111117893"/>
      <name val="Calibri"/>
      <family val="2"/>
      <scheme val="minor"/>
    </font>
    <font>
      <sz val="8"/>
      <color theme="0" tint="-0.499984740745262"/>
      <name val="Calibri"/>
      <family val="2"/>
      <scheme val="minor"/>
    </font>
    <font>
      <b/>
      <sz val="11"/>
      <color theme="9" tint="-0.249977111117893"/>
      <name val="Calibri"/>
      <family val="2"/>
      <scheme val="minor"/>
    </font>
    <font>
      <sz val="11"/>
      <name val="Calibri"/>
      <family val="2"/>
      <scheme val="minor"/>
    </font>
    <font>
      <b/>
      <sz val="11"/>
      <name val="Calibri"/>
      <family val="2"/>
      <scheme val="minor"/>
    </font>
    <font>
      <sz val="10"/>
      <color theme="9" tint="-0.249977111117893"/>
      <name val="Calibri"/>
      <family val="2"/>
      <scheme val="minor"/>
    </font>
    <font>
      <sz val="10"/>
      <color rgb="FFFF0000"/>
      <name val="Calibri"/>
      <family val="2"/>
      <scheme val="minor"/>
    </font>
    <font>
      <sz val="11"/>
      <color rgb="FFFF0000"/>
      <name val="Calibri"/>
      <family val="2"/>
      <scheme val="minor"/>
    </font>
    <font>
      <sz val="12"/>
      <name val="Calibri"/>
      <family val="2"/>
      <scheme val="minor"/>
    </font>
    <font>
      <sz val="8"/>
      <color theme="0"/>
      <name val="Calibri"/>
      <family val="2"/>
      <scheme val="minor"/>
    </font>
    <font>
      <sz val="12"/>
      <color rgb="FFFF0000"/>
      <name val="Calibri"/>
      <family val="2"/>
      <scheme val="minor"/>
    </font>
    <font>
      <b/>
      <sz val="12"/>
      <color rgb="FFFF0000"/>
      <name val="Calibri"/>
      <family val="2"/>
      <scheme val="minor"/>
    </font>
    <font>
      <sz val="11"/>
      <color rgb="FFFFC000"/>
      <name val="Calibri"/>
      <family val="2"/>
      <scheme val="minor"/>
    </font>
    <font>
      <sz val="11"/>
      <color theme="9"/>
      <name val="Calibri"/>
      <family val="2"/>
      <scheme val="minor"/>
    </font>
    <font>
      <sz val="12"/>
      <color indexed="81"/>
      <name val="Tahoma"/>
      <family val="2"/>
    </font>
    <font>
      <b/>
      <sz val="12"/>
      <color theme="9" tint="-0.249977111117893"/>
      <name val="Calibri"/>
      <family val="2"/>
      <scheme val="minor"/>
    </font>
    <font>
      <b/>
      <sz val="10"/>
      <color theme="1"/>
      <name val="Arial"/>
      <family val="2"/>
    </font>
    <font>
      <b/>
      <vertAlign val="superscript"/>
      <sz val="10"/>
      <color indexed="8"/>
      <name val="Arial"/>
      <family val="2"/>
    </font>
    <font>
      <b/>
      <u/>
      <sz val="10"/>
      <color theme="1"/>
      <name val="Arial"/>
      <family val="2"/>
    </font>
    <font>
      <sz val="10"/>
      <color theme="1"/>
      <name val="Arial"/>
      <family val="2"/>
    </font>
    <font>
      <sz val="10"/>
      <color rgb="FF000000"/>
      <name val="Arial"/>
      <family val="2"/>
    </font>
    <font>
      <b/>
      <sz val="10"/>
      <name val="Arial"/>
      <family val="2"/>
    </font>
    <font>
      <b/>
      <sz val="10"/>
      <color rgb="FF000000"/>
      <name val="Arial"/>
      <family val="2"/>
    </font>
    <font>
      <b/>
      <sz val="10"/>
      <color indexed="8"/>
      <name val="Arial"/>
      <family val="2"/>
    </font>
    <font>
      <sz val="10"/>
      <color theme="0" tint="-0.499984740745262"/>
      <name val="Arial"/>
      <family val="2"/>
    </font>
    <font>
      <sz val="10"/>
      <color rgb="FFFF0000"/>
      <name val="Arial"/>
      <family val="2"/>
    </font>
    <font>
      <b/>
      <i/>
      <sz val="10"/>
      <color theme="1"/>
      <name val="Arial"/>
      <family val="2"/>
    </font>
    <font>
      <b/>
      <sz val="10"/>
      <color rgb="FFFF0000"/>
      <name val="Arial"/>
      <family val="2"/>
    </font>
  </fonts>
  <fills count="35">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rgb="FFE6E6E6"/>
        <bgColor indexed="64"/>
      </patternFill>
    </fill>
    <fill>
      <patternFill patternType="solid">
        <fgColor rgb="FFD9D9D9"/>
        <bgColor indexed="64"/>
      </patternFill>
    </fill>
    <fill>
      <patternFill patternType="solid">
        <fgColor rgb="FFFFC000"/>
        <bgColor indexed="64"/>
      </patternFill>
    </fill>
    <fill>
      <patternFill patternType="solid">
        <fgColor rgb="FF92D050"/>
        <bgColor indexed="64"/>
      </patternFill>
    </fill>
    <fill>
      <patternFill patternType="solid">
        <fgColor theme="0"/>
        <bgColor indexed="64"/>
      </patternFill>
    </fill>
    <fill>
      <patternFill patternType="solid">
        <fgColor rgb="FFE0E0E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FFFF99"/>
        <bgColor indexed="64"/>
      </patternFill>
    </fill>
    <fill>
      <patternFill patternType="solid">
        <fgColor rgb="FFFFFF00"/>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rgb="FFFFFFFF"/>
        <bgColor indexed="64"/>
      </patternFill>
    </fill>
    <fill>
      <patternFill patternType="solid">
        <fgColor theme="2" tint="-0.249977111117893"/>
        <bgColor indexed="64"/>
      </patternFill>
    </fill>
    <fill>
      <patternFill patternType="solid">
        <fgColor rgb="FFFFCC00"/>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theme="9"/>
        <bgColor indexed="64"/>
      </patternFill>
    </fill>
    <fill>
      <patternFill patternType="solid">
        <fgColor theme="0" tint="-0.34998626667073579"/>
        <bgColor indexed="64"/>
      </patternFill>
    </fill>
    <fill>
      <patternFill patternType="solid">
        <fgColor theme="5" tint="0.39997558519241921"/>
        <bgColor indexed="64"/>
      </patternFill>
    </fill>
  </fills>
  <borders count="7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rgb="FF495057"/>
      </left>
      <right style="medium">
        <color rgb="FF495057"/>
      </right>
      <top style="medium">
        <color rgb="FF495057"/>
      </top>
      <bottom style="medium">
        <color rgb="FF495057"/>
      </bottom>
      <diagonal/>
    </border>
    <border>
      <left style="medium">
        <color rgb="FF495057"/>
      </left>
      <right style="medium">
        <color rgb="FF495057"/>
      </right>
      <top style="medium">
        <color rgb="FF495057"/>
      </top>
      <bottom/>
      <diagonal/>
    </border>
    <border>
      <left style="medium">
        <color rgb="FF495057"/>
      </left>
      <right style="medium">
        <color rgb="FF495057"/>
      </right>
      <top/>
      <bottom style="medium">
        <color rgb="FF495057"/>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bottom/>
      <diagonal/>
    </border>
    <border>
      <left/>
      <right style="medium">
        <color indexed="64"/>
      </right>
      <top/>
      <bottom style="thin">
        <color indexed="64"/>
      </bottom>
      <diagonal/>
    </border>
    <border>
      <left/>
      <right/>
      <top/>
      <bottom style="thin">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s>
  <cellStyleXfs count="24">
    <xf numFmtId="0" fontId="0" fillId="0" borderId="0"/>
    <xf numFmtId="43" fontId="1" fillId="0" borderId="0" applyFont="0" applyFill="0" applyBorder="0" applyAlignment="0" applyProtection="0"/>
    <xf numFmtId="38" fontId="16" fillId="0" borderId="0" applyFont="0" applyFill="0" applyBorder="0" applyAlignment="0" applyProtection="0"/>
    <xf numFmtId="43" fontId="17" fillId="0" borderId="0" applyFont="0" applyFill="0" applyBorder="0" applyAlignment="0" applyProtection="0"/>
    <xf numFmtId="0" fontId="17" fillId="0" borderId="0"/>
    <xf numFmtId="0" fontId="18" fillId="0" borderId="0"/>
    <xf numFmtId="0" fontId="17" fillId="0" borderId="0"/>
    <xf numFmtId="0" fontId="18" fillId="0" borderId="0"/>
    <xf numFmtId="0" fontId="15"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6" fillId="0" borderId="0"/>
    <xf numFmtId="0" fontId="1" fillId="0" borderId="0"/>
    <xf numFmtId="0" fontId="1" fillId="0" borderId="0"/>
    <xf numFmtId="0" fontId="16" fillId="0" borderId="0"/>
    <xf numFmtId="9" fontId="17" fillId="0" borderId="0" applyFont="0" applyFill="0" applyBorder="0" applyAlignment="0" applyProtection="0"/>
    <xf numFmtId="9" fontId="1" fillId="0" borderId="0" applyFont="0" applyFill="0" applyBorder="0" applyAlignment="0" applyProtection="0"/>
    <xf numFmtId="0" fontId="31" fillId="0" borderId="0" applyNumberFormat="0" applyFill="0" applyBorder="0" applyAlignment="0" applyProtection="0">
      <alignment vertical="top"/>
      <protection locked="0"/>
    </xf>
    <xf numFmtId="43" fontId="18" fillId="0" borderId="0" applyFont="0" applyFill="0" applyBorder="0" applyAlignment="0" applyProtection="0"/>
  </cellStyleXfs>
  <cellXfs count="1432">
    <xf numFmtId="0" fontId="0" fillId="0" borderId="0" xfId="0"/>
    <xf numFmtId="0" fontId="0" fillId="0" borderId="0" xfId="0" applyFont="1" applyAlignment="1">
      <alignment vertical="center"/>
    </xf>
    <xf numFmtId="0" fontId="5" fillId="2" borderId="6" xfId="0" applyFont="1" applyFill="1" applyBorder="1" applyAlignment="1">
      <alignment horizontal="center" vertical="center" wrapText="1"/>
    </xf>
    <xf numFmtId="0" fontId="0" fillId="0" borderId="0" xfId="0" applyAlignment="1">
      <alignment vertical="center"/>
    </xf>
    <xf numFmtId="0" fontId="0" fillId="8" borderId="0" xfId="0" applyFont="1" applyFill="1" applyAlignment="1">
      <alignment vertical="center"/>
    </xf>
    <xf numFmtId="0" fontId="19" fillId="8" borderId="0" xfId="0" applyFont="1" applyFill="1"/>
    <xf numFmtId="0" fontId="21" fillId="11" borderId="17" xfId="0" applyFont="1" applyFill="1" applyBorder="1" applyAlignment="1">
      <alignment horizontal="center" vertical="center" wrapText="1"/>
    </xf>
    <xf numFmtId="0" fontId="19" fillId="8" borderId="17" xfId="0" applyFont="1" applyFill="1" applyBorder="1"/>
    <xf numFmtId="0" fontId="19" fillId="8" borderId="0" xfId="0" applyFont="1" applyFill="1" applyBorder="1"/>
    <xf numFmtId="164" fontId="21" fillId="11" borderId="17" xfId="1" applyNumberFormat="1" applyFont="1" applyFill="1" applyBorder="1" applyAlignment="1">
      <alignment horizontal="center" vertical="center" wrapText="1"/>
    </xf>
    <xf numFmtId="164" fontId="19" fillId="8" borderId="17" xfId="1" applyNumberFormat="1" applyFont="1" applyFill="1" applyBorder="1"/>
    <xf numFmtId="164" fontId="20" fillId="8" borderId="0" xfId="1" applyNumberFormat="1" applyFont="1" applyFill="1" applyBorder="1"/>
    <xf numFmtId="164" fontId="19" fillId="8" borderId="0" xfId="1" applyNumberFormat="1" applyFont="1" applyFill="1"/>
    <xf numFmtId="164" fontId="20" fillId="8" borderId="0" xfId="1" applyNumberFormat="1" applyFont="1" applyFill="1"/>
    <xf numFmtId="164" fontId="22" fillId="8" borderId="0" xfId="0" applyNumberFormat="1" applyFont="1" applyFill="1"/>
    <xf numFmtId="164" fontId="19" fillId="13" borderId="17" xfId="1" applyNumberFormat="1" applyFont="1" applyFill="1" applyBorder="1"/>
    <xf numFmtId="0" fontId="19" fillId="14" borderId="17" xfId="0" applyFont="1" applyFill="1" applyBorder="1"/>
    <xf numFmtId="0" fontId="8" fillId="8" borderId="0" xfId="0" applyFont="1" applyFill="1"/>
    <xf numFmtId="0" fontId="5" fillId="8" borderId="0" xfId="0" applyFont="1" applyFill="1"/>
    <xf numFmtId="0" fontId="5" fillId="15" borderId="10" xfId="0" applyFont="1" applyFill="1" applyBorder="1" applyAlignment="1">
      <alignment horizontal="centerContinuous"/>
    </xf>
    <xf numFmtId="0" fontId="5" fillId="15" borderId="11" xfId="0" applyFont="1" applyFill="1" applyBorder="1" applyAlignment="1">
      <alignment horizontal="centerContinuous"/>
    </xf>
    <xf numFmtId="0" fontId="5" fillId="15" borderId="12" xfId="0" applyFont="1" applyFill="1" applyBorder="1" applyAlignment="1">
      <alignment horizontal="centerContinuous"/>
    </xf>
    <xf numFmtId="0" fontId="5" fillId="17" borderId="10" xfId="0" applyFont="1" applyFill="1" applyBorder="1" applyAlignment="1">
      <alignment horizontal="centerContinuous"/>
    </xf>
    <xf numFmtId="0" fontId="5" fillId="17" borderId="11" xfId="0" applyFont="1" applyFill="1" applyBorder="1" applyAlignment="1">
      <alignment horizontal="centerContinuous"/>
    </xf>
    <xf numFmtId="0" fontId="5" fillId="17" borderId="12" xfId="0" applyFont="1" applyFill="1" applyBorder="1" applyAlignment="1">
      <alignment horizontal="centerContinuous"/>
    </xf>
    <xf numFmtId="0" fontId="5" fillId="18" borderId="10" xfId="0" applyFont="1" applyFill="1" applyBorder="1" applyAlignment="1">
      <alignment horizontal="centerContinuous"/>
    </xf>
    <xf numFmtId="0" fontId="5" fillId="18" borderId="11" xfId="0" applyFont="1" applyFill="1" applyBorder="1" applyAlignment="1">
      <alignment horizontal="centerContinuous"/>
    </xf>
    <xf numFmtId="0" fontId="5" fillId="18" borderId="12" xfId="0" applyFont="1" applyFill="1" applyBorder="1" applyAlignment="1">
      <alignment horizontal="centerContinuous"/>
    </xf>
    <xf numFmtId="0" fontId="5" fillId="19" borderId="10" xfId="0" applyFont="1" applyFill="1" applyBorder="1" applyAlignment="1">
      <alignment horizontal="centerContinuous"/>
    </xf>
    <xf numFmtId="0" fontId="5" fillId="19" borderId="11" xfId="0" applyFont="1" applyFill="1" applyBorder="1" applyAlignment="1">
      <alignment horizontal="centerContinuous"/>
    </xf>
    <xf numFmtId="0" fontId="5" fillId="19" borderId="12" xfId="0" applyFont="1" applyFill="1" applyBorder="1" applyAlignment="1">
      <alignment horizontal="centerContinuous"/>
    </xf>
    <xf numFmtId="0" fontId="5" fillId="16" borderId="10" xfId="0" applyFont="1" applyFill="1" applyBorder="1" applyAlignment="1">
      <alignment horizontal="centerContinuous"/>
    </xf>
    <xf numFmtId="0" fontId="5" fillId="16" borderId="11" xfId="0" applyFont="1" applyFill="1" applyBorder="1" applyAlignment="1">
      <alignment horizontal="centerContinuous"/>
    </xf>
    <xf numFmtId="0" fontId="5" fillId="16" borderId="12" xfId="0" applyFont="1" applyFill="1" applyBorder="1" applyAlignment="1">
      <alignment horizontal="centerContinuous"/>
    </xf>
    <xf numFmtId="0" fontId="5" fillId="7" borderId="11" xfId="0" applyFont="1" applyFill="1" applyBorder="1" applyAlignment="1">
      <alignment horizontal="centerContinuous"/>
    </xf>
    <xf numFmtId="0" fontId="5" fillId="7" borderId="12" xfId="0" applyFont="1" applyFill="1" applyBorder="1" applyAlignment="1">
      <alignment horizontal="centerContinuous"/>
    </xf>
    <xf numFmtId="0" fontId="5" fillId="8" borderId="0" xfId="0" applyFont="1" applyFill="1" applyAlignment="1">
      <alignment horizontal="center"/>
    </xf>
    <xf numFmtId="0" fontId="5" fillId="15" borderId="16" xfId="0" applyFont="1" applyFill="1" applyBorder="1" applyAlignment="1">
      <alignment horizontal="center"/>
    </xf>
    <xf numFmtId="0" fontId="5" fillId="15" borderId="17" xfId="0" applyFont="1" applyFill="1" applyBorder="1" applyAlignment="1">
      <alignment horizontal="center"/>
    </xf>
    <xf numFmtId="0" fontId="5" fillId="15" borderId="18" xfId="0" applyFont="1" applyFill="1" applyBorder="1" applyAlignment="1">
      <alignment horizontal="center"/>
    </xf>
    <xf numFmtId="0" fontId="5" fillId="17" borderId="16" xfId="0" applyFont="1" applyFill="1" applyBorder="1" applyAlignment="1">
      <alignment horizontal="center"/>
    </xf>
    <xf numFmtId="0" fontId="5" fillId="17" borderId="17" xfId="0" applyFont="1" applyFill="1" applyBorder="1" applyAlignment="1">
      <alignment horizontal="center"/>
    </xf>
    <xf numFmtId="0" fontId="5" fillId="17" borderId="18" xfId="0" applyFont="1" applyFill="1" applyBorder="1" applyAlignment="1">
      <alignment horizontal="center"/>
    </xf>
    <xf numFmtId="0" fontId="5" fillId="18" borderId="16" xfId="0" applyFont="1" applyFill="1" applyBorder="1" applyAlignment="1">
      <alignment horizontal="center"/>
    </xf>
    <xf numFmtId="0" fontId="5" fillId="18" borderId="17" xfId="0" applyFont="1" applyFill="1" applyBorder="1" applyAlignment="1">
      <alignment horizontal="center"/>
    </xf>
    <xf numFmtId="0" fontId="5" fillId="18" borderId="18" xfId="0" applyFont="1" applyFill="1" applyBorder="1" applyAlignment="1">
      <alignment horizontal="center"/>
    </xf>
    <xf numFmtId="0" fontId="5" fillId="19" borderId="16" xfId="0" applyFont="1" applyFill="1" applyBorder="1" applyAlignment="1">
      <alignment horizontal="center"/>
    </xf>
    <xf numFmtId="0" fontId="5" fillId="19" borderId="17" xfId="0" applyFont="1" applyFill="1" applyBorder="1" applyAlignment="1">
      <alignment horizontal="center"/>
    </xf>
    <xf numFmtId="0" fontId="5" fillId="19" borderId="18" xfId="0" applyFont="1" applyFill="1" applyBorder="1" applyAlignment="1">
      <alignment horizontal="center"/>
    </xf>
    <xf numFmtId="0" fontId="5" fillId="16" borderId="16" xfId="0" applyFont="1" applyFill="1" applyBorder="1" applyAlignment="1">
      <alignment horizontal="center"/>
    </xf>
    <xf numFmtId="0" fontId="5" fillId="16" borderId="17" xfId="0" applyFont="1" applyFill="1" applyBorder="1" applyAlignment="1">
      <alignment horizontal="center"/>
    </xf>
    <xf numFmtId="0" fontId="5" fillId="16" borderId="18" xfId="0" applyFont="1" applyFill="1" applyBorder="1" applyAlignment="1">
      <alignment horizontal="center"/>
    </xf>
    <xf numFmtId="0" fontId="5" fillId="7" borderId="17" xfId="0" applyFont="1" applyFill="1" applyBorder="1" applyAlignment="1">
      <alignment horizontal="center"/>
    </xf>
    <xf numFmtId="0" fontId="5" fillId="7" borderId="18" xfId="0" applyFont="1" applyFill="1" applyBorder="1" applyAlignment="1">
      <alignment horizontal="center"/>
    </xf>
    <xf numFmtId="0" fontId="5" fillId="15" borderId="33" xfId="0" applyFont="1" applyFill="1" applyBorder="1" applyAlignment="1">
      <alignment horizontal="center"/>
    </xf>
    <xf numFmtId="0" fontId="5" fillId="15" borderId="34" xfId="0" applyFont="1" applyFill="1" applyBorder="1" applyAlignment="1">
      <alignment horizontal="center"/>
    </xf>
    <xf numFmtId="0" fontId="5" fillId="15" borderId="22" xfId="0" applyFont="1" applyFill="1" applyBorder="1" applyAlignment="1">
      <alignment horizontal="center"/>
    </xf>
    <xf numFmtId="0" fontId="5" fillId="15" borderId="23" xfId="0" applyFont="1" applyFill="1" applyBorder="1" applyAlignment="1">
      <alignment horizontal="center"/>
    </xf>
    <xf numFmtId="0" fontId="5" fillId="15" borderId="24" xfId="0" applyFont="1" applyFill="1" applyBorder="1" applyAlignment="1">
      <alignment horizontal="center"/>
    </xf>
    <xf numFmtId="0" fontId="5" fillId="17" borderId="22" xfId="0" applyFont="1" applyFill="1" applyBorder="1" applyAlignment="1">
      <alignment horizontal="center"/>
    </xf>
    <xf numFmtId="0" fontId="5" fillId="17" borderId="23" xfId="0" applyFont="1" applyFill="1" applyBorder="1" applyAlignment="1">
      <alignment horizontal="center"/>
    </xf>
    <xf numFmtId="0" fontId="5" fillId="17" borderId="24" xfId="0" applyFont="1" applyFill="1" applyBorder="1" applyAlignment="1">
      <alignment horizontal="center"/>
    </xf>
    <xf numFmtId="0" fontId="5" fillId="18" borderId="22" xfId="0" applyFont="1" applyFill="1" applyBorder="1" applyAlignment="1">
      <alignment horizontal="center"/>
    </xf>
    <xf numFmtId="0" fontId="5" fillId="18" borderId="23" xfId="0" applyFont="1" applyFill="1" applyBorder="1" applyAlignment="1">
      <alignment horizontal="center"/>
    </xf>
    <xf numFmtId="0" fontId="5" fillId="18" borderId="24" xfId="0" applyFont="1" applyFill="1" applyBorder="1" applyAlignment="1">
      <alignment horizontal="center"/>
    </xf>
    <xf numFmtId="0" fontId="5" fillId="19" borderId="22" xfId="0" applyFont="1" applyFill="1" applyBorder="1" applyAlignment="1">
      <alignment horizontal="center"/>
    </xf>
    <xf numFmtId="0" fontId="5" fillId="19" borderId="23" xfId="0" applyFont="1" applyFill="1" applyBorder="1" applyAlignment="1">
      <alignment horizontal="center"/>
    </xf>
    <xf numFmtId="0" fontId="5" fillId="19" borderId="24" xfId="0" applyFont="1" applyFill="1" applyBorder="1" applyAlignment="1">
      <alignment horizontal="center"/>
    </xf>
    <xf numFmtId="0" fontId="5" fillId="16" borderId="22" xfId="0" applyFont="1" applyFill="1" applyBorder="1" applyAlignment="1">
      <alignment horizontal="center"/>
    </xf>
    <xf numFmtId="0" fontId="5" fillId="16" borderId="23" xfId="0" applyFont="1" applyFill="1" applyBorder="1" applyAlignment="1">
      <alignment horizontal="center"/>
    </xf>
    <xf numFmtId="0" fontId="5" fillId="16" borderId="24" xfId="0" applyFont="1" applyFill="1" applyBorder="1" applyAlignment="1">
      <alignment horizontal="center"/>
    </xf>
    <xf numFmtId="0" fontId="5" fillId="7" borderId="23" xfId="0" applyFont="1" applyFill="1" applyBorder="1" applyAlignment="1">
      <alignment horizontal="center"/>
    </xf>
    <xf numFmtId="0" fontId="5" fillId="7" borderId="24" xfId="0" applyFont="1" applyFill="1" applyBorder="1" applyAlignment="1">
      <alignment horizontal="center"/>
    </xf>
    <xf numFmtId="0" fontId="8" fillId="0" borderId="32" xfId="0" applyFont="1" applyBorder="1"/>
    <xf numFmtId="0" fontId="8" fillId="0" borderId="29" xfId="0" applyFont="1" applyBorder="1"/>
    <xf numFmtId="0" fontId="8" fillId="0" borderId="19" xfId="0" applyFont="1" applyBorder="1"/>
    <xf numFmtId="0" fontId="8" fillId="0" borderId="25" xfId="0" applyFont="1" applyBorder="1"/>
    <xf numFmtId="164" fontId="8" fillId="8" borderId="16" xfId="1" applyNumberFormat="1" applyFont="1" applyFill="1" applyBorder="1"/>
    <xf numFmtId="9" fontId="8" fillId="8" borderId="17" xfId="21" applyFont="1" applyFill="1" applyBorder="1"/>
    <xf numFmtId="164" fontId="8" fillId="8" borderId="17" xfId="1" applyNumberFormat="1" applyFont="1" applyFill="1" applyBorder="1"/>
    <xf numFmtId="9" fontId="8" fillId="8" borderId="18" xfId="21" applyFont="1" applyFill="1" applyBorder="1"/>
    <xf numFmtId="0" fontId="25" fillId="0" borderId="19" xfId="0" applyFont="1" applyBorder="1"/>
    <xf numFmtId="0" fontId="25" fillId="0" borderId="25" xfId="0" applyFont="1" applyBorder="1"/>
    <xf numFmtId="0" fontId="25" fillId="0" borderId="26" xfId="0" applyFont="1" applyBorder="1"/>
    <xf numFmtId="0" fontId="8" fillId="0" borderId="27" xfId="0" applyFont="1" applyBorder="1"/>
    <xf numFmtId="164" fontId="8" fillId="8" borderId="22" xfId="1" applyNumberFormat="1" applyFont="1" applyFill="1" applyBorder="1"/>
    <xf numFmtId="9" fontId="8" fillId="8" borderId="23" xfId="21" applyFont="1" applyFill="1" applyBorder="1"/>
    <xf numFmtId="164" fontId="8" fillId="8" borderId="23" xfId="1" applyNumberFormat="1" applyFont="1" applyFill="1" applyBorder="1"/>
    <xf numFmtId="9" fontId="8" fillId="8" borderId="24" xfId="21" applyFont="1" applyFill="1" applyBorder="1"/>
    <xf numFmtId="0" fontId="26" fillId="0" borderId="0" xfId="0" applyFont="1" applyBorder="1"/>
    <xf numFmtId="164" fontId="5" fillId="8" borderId="0" xfId="1" applyNumberFormat="1" applyFont="1" applyFill="1" applyBorder="1"/>
    <xf numFmtId="9" fontId="5" fillId="8" borderId="0" xfId="21" applyFont="1" applyFill="1" applyBorder="1"/>
    <xf numFmtId="0" fontId="5" fillId="8" borderId="0" xfId="0" applyFont="1" applyFill="1" applyBorder="1"/>
    <xf numFmtId="164" fontId="27" fillId="8" borderId="0" xfId="0" applyNumberFormat="1" applyFont="1" applyFill="1"/>
    <xf numFmtId="164" fontId="5" fillId="13" borderId="0" xfId="1" applyNumberFormat="1" applyFont="1" applyFill="1" applyBorder="1"/>
    <xf numFmtId="43" fontId="8" fillId="8" borderId="0" xfId="1" applyFont="1" applyFill="1"/>
    <xf numFmtId="0" fontId="5" fillId="19" borderId="25" xfId="0" applyFont="1" applyFill="1" applyBorder="1" applyAlignment="1">
      <alignment horizontal="center"/>
    </xf>
    <xf numFmtId="0" fontId="5" fillId="19" borderId="27" xfId="0" applyFont="1" applyFill="1" applyBorder="1" applyAlignment="1">
      <alignment horizontal="center"/>
    </xf>
    <xf numFmtId="9" fontId="8" fillId="8" borderId="25" xfId="21" applyFont="1" applyFill="1" applyBorder="1"/>
    <xf numFmtId="9" fontId="8" fillId="8" borderId="27" xfId="21" applyFont="1" applyFill="1" applyBorder="1"/>
    <xf numFmtId="9" fontId="8" fillId="8" borderId="16" xfId="21" applyFont="1" applyFill="1" applyBorder="1"/>
    <xf numFmtId="0" fontId="5" fillId="16" borderId="36" xfId="0" applyFont="1" applyFill="1" applyBorder="1" applyAlignment="1">
      <alignment horizontal="centerContinuous"/>
    </xf>
    <xf numFmtId="0" fontId="5" fillId="16" borderId="37" xfId="0" applyFont="1" applyFill="1" applyBorder="1" applyAlignment="1">
      <alignment horizontal="center"/>
    </xf>
    <xf numFmtId="9" fontId="8" fillId="13" borderId="38" xfId="21" applyFont="1" applyFill="1" applyBorder="1"/>
    <xf numFmtId="16" fontId="5" fillId="16" borderId="38" xfId="0" quotePrefix="1" applyNumberFormat="1" applyFont="1" applyFill="1" applyBorder="1" applyAlignment="1">
      <alignment horizontal="center"/>
    </xf>
    <xf numFmtId="9" fontId="8" fillId="8" borderId="37" xfId="21" applyFont="1" applyFill="1" applyBorder="1"/>
    <xf numFmtId="9" fontId="8" fillId="8" borderId="38" xfId="21" applyFont="1" applyFill="1" applyBorder="1"/>
    <xf numFmtId="9" fontId="8" fillId="8" borderId="40" xfId="21" applyFont="1" applyFill="1" applyBorder="1"/>
    <xf numFmtId="9" fontId="8" fillId="8" borderId="41" xfId="21" applyFont="1" applyFill="1" applyBorder="1"/>
    <xf numFmtId="164" fontId="8" fillId="13" borderId="28" xfId="1" applyNumberFormat="1" applyFont="1" applyFill="1" applyBorder="1"/>
    <xf numFmtId="164" fontId="8" fillId="8" borderId="25" xfId="1" applyNumberFormat="1" applyFont="1" applyFill="1" applyBorder="1"/>
    <xf numFmtId="164" fontId="8" fillId="13" borderId="17" xfId="1" applyNumberFormat="1" applyFont="1" applyFill="1" applyBorder="1"/>
    <xf numFmtId="164" fontId="8" fillId="13" borderId="18" xfId="1" applyNumberFormat="1" applyFont="1" applyFill="1" applyBorder="1"/>
    <xf numFmtId="164" fontId="8" fillId="8" borderId="27" xfId="1" applyNumberFormat="1" applyFont="1" applyFill="1" applyBorder="1"/>
    <xf numFmtId="164" fontId="8" fillId="13" borderId="23" xfId="1" applyNumberFormat="1" applyFont="1" applyFill="1" applyBorder="1"/>
    <xf numFmtId="164" fontId="8" fillId="13" borderId="24" xfId="1" applyNumberFormat="1" applyFont="1" applyFill="1" applyBorder="1"/>
    <xf numFmtId="164" fontId="8" fillId="8" borderId="0" xfId="1" applyNumberFormat="1" applyFont="1" applyFill="1"/>
    <xf numFmtId="165" fontId="5" fillId="8" borderId="0" xfId="21" applyNumberFormat="1" applyFont="1" applyFill="1" applyBorder="1"/>
    <xf numFmtId="0" fontId="5" fillId="8" borderId="0" xfId="0" applyFont="1" applyFill="1" applyAlignment="1">
      <alignment horizontal="right"/>
    </xf>
    <xf numFmtId="0" fontId="25" fillId="0" borderId="13" xfId="0" applyFont="1" applyBorder="1"/>
    <xf numFmtId="0" fontId="8" fillId="0" borderId="43" xfId="0" applyFont="1" applyBorder="1"/>
    <xf numFmtId="164" fontId="8" fillId="8" borderId="44" xfId="1" applyNumberFormat="1" applyFont="1" applyFill="1" applyBorder="1"/>
    <xf numFmtId="9" fontId="8" fillId="8" borderId="45" xfId="21" applyFont="1" applyFill="1" applyBorder="1"/>
    <xf numFmtId="164" fontId="8" fillId="8" borderId="45" xfId="1" applyNumberFormat="1" applyFont="1" applyFill="1" applyBorder="1"/>
    <xf numFmtId="9" fontId="8" fillId="8" borderId="46" xfId="21" applyFont="1" applyFill="1" applyBorder="1"/>
    <xf numFmtId="164" fontId="8" fillId="8" borderId="43" xfId="1" applyNumberFormat="1" applyFont="1" applyFill="1" applyBorder="1"/>
    <xf numFmtId="9" fontId="8" fillId="8" borderId="47" xfId="21" applyFont="1" applyFill="1" applyBorder="1"/>
    <xf numFmtId="9" fontId="8" fillId="8" borderId="48" xfId="21" applyFont="1" applyFill="1" applyBorder="1"/>
    <xf numFmtId="164" fontId="8" fillId="14" borderId="45" xfId="1" applyNumberFormat="1" applyFont="1" applyFill="1" applyBorder="1"/>
    <xf numFmtId="164" fontId="8" fillId="14" borderId="46" xfId="1" applyNumberFormat="1" applyFont="1" applyFill="1" applyBorder="1"/>
    <xf numFmtId="9" fontId="8" fillId="14" borderId="47" xfId="21" applyFont="1" applyFill="1" applyBorder="1"/>
    <xf numFmtId="9" fontId="8" fillId="8" borderId="43" xfId="21" applyFont="1" applyFill="1" applyBorder="1"/>
    <xf numFmtId="164" fontId="8" fillId="14" borderId="44" xfId="1" applyNumberFormat="1" applyFont="1" applyFill="1" applyBorder="1"/>
    <xf numFmtId="164" fontId="8" fillId="13" borderId="22" xfId="1" applyNumberFormat="1" applyFont="1" applyFill="1" applyBorder="1"/>
    <xf numFmtId="10" fontId="8" fillId="14" borderId="44" xfId="21" applyNumberFormat="1" applyFont="1" applyFill="1" applyBorder="1"/>
    <xf numFmtId="10" fontId="8" fillId="13" borderId="22" xfId="21" applyNumberFormat="1" applyFont="1" applyFill="1" applyBorder="1"/>
    <xf numFmtId="10" fontId="5" fillId="8" borderId="0" xfId="21" applyNumberFormat="1" applyFont="1" applyFill="1" applyBorder="1"/>
    <xf numFmtId="165" fontId="8" fillId="8" borderId="30" xfId="21" applyNumberFormat="1" applyFont="1" applyFill="1" applyBorder="1"/>
    <xf numFmtId="165" fontId="8" fillId="8" borderId="16" xfId="21" applyNumberFormat="1" applyFont="1" applyFill="1" applyBorder="1"/>
    <xf numFmtId="165" fontId="8" fillId="8" borderId="17" xfId="21" applyNumberFormat="1" applyFont="1" applyFill="1" applyBorder="1"/>
    <xf numFmtId="165" fontId="8" fillId="8" borderId="18" xfId="21" applyNumberFormat="1" applyFont="1" applyFill="1" applyBorder="1"/>
    <xf numFmtId="165" fontId="8" fillId="8" borderId="44" xfId="21" applyNumberFormat="1" applyFont="1" applyFill="1" applyBorder="1"/>
    <xf numFmtId="165" fontId="8" fillId="8" borderId="45" xfId="21" applyNumberFormat="1" applyFont="1" applyFill="1" applyBorder="1"/>
    <xf numFmtId="165" fontId="8" fillId="8" borderId="46" xfId="21" applyNumberFormat="1" applyFont="1" applyFill="1" applyBorder="1"/>
    <xf numFmtId="165" fontId="8" fillId="8" borderId="22" xfId="21" applyNumberFormat="1" applyFont="1" applyFill="1" applyBorder="1"/>
    <xf numFmtId="165" fontId="8" fillId="8" borderId="23" xfId="21" applyNumberFormat="1" applyFont="1" applyFill="1" applyBorder="1"/>
    <xf numFmtId="165" fontId="8" fillId="8" borderId="24" xfId="21" applyNumberFormat="1" applyFont="1" applyFill="1" applyBorder="1"/>
    <xf numFmtId="9" fontId="8" fillId="21" borderId="17" xfId="21" applyFont="1" applyFill="1" applyBorder="1"/>
    <xf numFmtId="164" fontId="5" fillId="8" borderId="0" xfId="1" applyNumberFormat="1" applyFont="1" applyFill="1"/>
    <xf numFmtId="164" fontId="5" fillId="8" borderId="0" xfId="1" applyNumberFormat="1" applyFont="1" applyFill="1" applyAlignment="1">
      <alignment horizontal="center"/>
    </xf>
    <xf numFmtId="0" fontId="5" fillId="17" borderId="34" xfId="0" applyFont="1" applyFill="1" applyBorder="1" applyAlignment="1">
      <alignment horizontal="center"/>
    </xf>
    <xf numFmtId="0" fontId="5" fillId="17" borderId="35" xfId="0" applyFont="1" applyFill="1" applyBorder="1" applyAlignment="1">
      <alignment horizontal="center"/>
    </xf>
    <xf numFmtId="167" fontId="27" fillId="11" borderId="0" xfId="0" applyNumberFormat="1" applyFont="1" applyFill="1"/>
    <xf numFmtId="14" fontId="8" fillId="8" borderId="0" xfId="1" applyNumberFormat="1" applyFont="1" applyFill="1"/>
    <xf numFmtId="9" fontId="5" fillId="8" borderId="0" xfId="21" applyFont="1" applyFill="1"/>
    <xf numFmtId="165" fontId="5" fillId="8" borderId="0" xfId="21" applyNumberFormat="1" applyFont="1" applyFill="1"/>
    <xf numFmtId="164" fontId="8" fillId="8" borderId="18" xfId="1" applyNumberFormat="1" applyFont="1" applyFill="1" applyBorder="1"/>
    <xf numFmtId="166" fontId="27" fillId="8" borderId="0" xfId="0" applyNumberFormat="1" applyFont="1" applyFill="1"/>
    <xf numFmtId="164" fontId="28" fillId="11" borderId="0" xfId="0" applyNumberFormat="1" applyFont="1" applyFill="1"/>
    <xf numFmtId="0" fontId="25" fillId="7" borderId="19" xfId="0" applyFont="1" applyFill="1" applyBorder="1"/>
    <xf numFmtId="0" fontId="8" fillId="7" borderId="25" xfId="0" applyFont="1" applyFill="1" applyBorder="1"/>
    <xf numFmtId="0" fontId="8" fillId="7" borderId="19" xfId="0" applyFont="1" applyFill="1" applyBorder="1"/>
    <xf numFmtId="0" fontId="8" fillId="7" borderId="32" xfId="0" applyFont="1" applyFill="1" applyBorder="1"/>
    <xf numFmtId="0" fontId="8" fillId="7" borderId="29" xfId="0" applyFont="1" applyFill="1" applyBorder="1"/>
    <xf numFmtId="0" fontId="25" fillId="7" borderId="25" xfId="0" applyFont="1" applyFill="1" applyBorder="1"/>
    <xf numFmtId="0" fontId="8" fillId="21" borderId="19" xfId="0" applyFont="1" applyFill="1" applyBorder="1"/>
    <xf numFmtId="0" fontId="25" fillId="18" borderId="19" xfId="0" applyFont="1" applyFill="1" applyBorder="1"/>
    <xf numFmtId="0" fontId="8" fillId="14" borderId="19" xfId="0" applyFont="1" applyFill="1" applyBorder="1"/>
    <xf numFmtId="0" fontId="25" fillId="14" borderId="25" xfId="0" applyFont="1" applyFill="1" applyBorder="1"/>
    <xf numFmtId="0" fontId="8" fillId="14" borderId="25" xfId="0" applyFont="1" applyFill="1" applyBorder="1"/>
    <xf numFmtId="0" fontId="8" fillId="18" borderId="19" xfId="0" applyFont="1" applyFill="1" applyBorder="1"/>
    <xf numFmtId="0" fontId="8" fillId="18" borderId="25" xfId="0" applyFont="1" applyFill="1" applyBorder="1"/>
    <xf numFmtId="43" fontId="26" fillId="0" borderId="0" xfId="1" applyFont="1" applyBorder="1"/>
    <xf numFmtId="164" fontId="5" fillId="15" borderId="34" xfId="1" applyNumberFormat="1" applyFont="1" applyFill="1" applyBorder="1" applyAlignment="1">
      <alignment horizontal="center"/>
    </xf>
    <xf numFmtId="164" fontId="26" fillId="0" borderId="0" xfId="1" applyNumberFormat="1" applyFont="1" applyBorder="1"/>
    <xf numFmtId="164" fontId="8" fillId="0" borderId="31" xfId="1" applyNumberFormat="1" applyFont="1" applyBorder="1"/>
    <xf numFmtId="164" fontId="30" fillId="8" borderId="0" xfId="1" applyNumberFormat="1" applyFont="1" applyFill="1"/>
    <xf numFmtId="164" fontId="8" fillId="14" borderId="49" xfId="1" applyNumberFormat="1" applyFont="1" applyFill="1" applyBorder="1"/>
    <xf numFmtId="43" fontId="8" fillId="13" borderId="36" xfId="1" applyFont="1" applyFill="1" applyBorder="1"/>
    <xf numFmtId="43" fontId="8" fillId="13" borderId="37" xfId="1" applyFont="1" applyFill="1" applyBorder="1"/>
    <xf numFmtId="43" fontId="25" fillId="13" borderId="37" xfId="1" applyFont="1" applyFill="1" applyBorder="1"/>
    <xf numFmtId="43" fontId="8" fillId="13" borderId="47" xfId="1" applyFont="1" applyFill="1" applyBorder="1"/>
    <xf numFmtId="43" fontId="8" fillId="13" borderId="38" xfId="1" applyFont="1" applyFill="1" applyBorder="1"/>
    <xf numFmtId="43" fontId="8" fillId="0" borderId="36" xfId="1" applyFont="1" applyBorder="1"/>
    <xf numFmtId="43" fontId="8" fillId="0" borderId="37" xfId="1" applyFont="1" applyBorder="1"/>
    <xf numFmtId="43" fontId="25" fillId="0" borderId="37" xfId="1" applyFont="1" applyBorder="1"/>
    <xf numFmtId="43" fontId="8" fillId="0" borderId="47" xfId="1" applyFont="1" applyBorder="1"/>
    <xf numFmtId="43" fontId="8" fillId="0" borderId="38" xfId="1" applyFont="1" applyBorder="1"/>
    <xf numFmtId="43" fontId="8" fillId="8" borderId="16" xfId="1" applyFont="1" applyFill="1" applyBorder="1"/>
    <xf numFmtId="43" fontId="5" fillId="8" borderId="0" xfId="1" applyFont="1" applyFill="1" applyBorder="1"/>
    <xf numFmtId="43" fontId="27" fillId="8" borderId="0" xfId="1" applyFont="1" applyFill="1"/>
    <xf numFmtId="164" fontId="8" fillId="0" borderId="36" xfId="1" applyNumberFormat="1" applyFont="1" applyBorder="1"/>
    <xf numFmtId="164" fontId="8" fillId="0" borderId="37" xfId="1" applyNumberFormat="1" applyFont="1" applyBorder="1"/>
    <xf numFmtId="164" fontId="25" fillId="0" borderId="37" xfId="1" applyNumberFormat="1" applyFont="1" applyBorder="1"/>
    <xf numFmtId="164" fontId="8" fillId="0" borderId="47" xfId="1" applyNumberFormat="1" applyFont="1" applyBorder="1"/>
    <xf numFmtId="164" fontId="5" fillId="17" borderId="35" xfId="1" applyNumberFormat="1" applyFont="1" applyFill="1" applyBorder="1" applyAlignment="1">
      <alignment horizontal="center"/>
    </xf>
    <xf numFmtId="164" fontId="27" fillId="8" borderId="0" xfId="1" applyNumberFormat="1" applyFont="1" applyFill="1"/>
    <xf numFmtId="0" fontId="8" fillId="0" borderId="0" xfId="0" applyFont="1"/>
    <xf numFmtId="0" fontId="30" fillId="0" borderId="0" xfId="0" applyFont="1"/>
    <xf numFmtId="164" fontId="8" fillId="0" borderId="0" xfId="1" applyNumberFormat="1" applyFont="1"/>
    <xf numFmtId="164" fontId="27" fillId="11" borderId="0" xfId="1" applyNumberFormat="1" applyFont="1" applyFill="1"/>
    <xf numFmtId="0" fontId="8" fillId="19" borderId="19" xfId="0" applyFont="1" applyFill="1" applyBorder="1"/>
    <xf numFmtId="0" fontId="25" fillId="19" borderId="25" xfId="0" applyFont="1" applyFill="1" applyBorder="1"/>
    <xf numFmtId="0" fontId="8" fillId="14" borderId="0" xfId="0" applyFont="1" applyFill="1"/>
    <xf numFmtId="164" fontId="8" fillId="14" borderId="0" xfId="1" applyNumberFormat="1" applyFont="1" applyFill="1"/>
    <xf numFmtId="0" fontId="32" fillId="7" borderId="0" xfId="22" applyFont="1" applyFill="1" applyAlignment="1" applyProtection="1">
      <alignment horizontal="center"/>
    </xf>
    <xf numFmtId="0" fontId="8" fillId="8" borderId="0" xfId="0" applyFont="1" applyFill="1" applyAlignment="1">
      <alignment horizontal="center"/>
    </xf>
    <xf numFmtId="164" fontId="19" fillId="8" borderId="0" xfId="0" applyNumberFormat="1" applyFont="1" applyFill="1"/>
    <xf numFmtId="43" fontId="25" fillId="0" borderId="37" xfId="1" applyNumberFormat="1" applyFont="1" applyBorder="1"/>
    <xf numFmtId="43" fontId="8" fillId="8" borderId="0" xfId="0" applyNumberFormat="1" applyFont="1" applyFill="1"/>
    <xf numFmtId="43" fontId="8" fillId="8" borderId="16" xfId="1" applyNumberFormat="1" applyFont="1" applyFill="1" applyBorder="1"/>
    <xf numFmtId="43" fontId="8" fillId="8" borderId="36" xfId="1" applyFont="1" applyFill="1" applyBorder="1"/>
    <xf numFmtId="164" fontId="8" fillId="0" borderId="0" xfId="0" applyNumberFormat="1" applyFont="1"/>
    <xf numFmtId="164" fontId="8" fillId="11" borderId="0" xfId="0" applyNumberFormat="1" applyFont="1" applyFill="1"/>
    <xf numFmtId="164" fontId="8" fillId="8" borderId="0" xfId="1" applyNumberFormat="1" applyFont="1" applyFill="1" applyAlignment="1">
      <alignment horizontal="center"/>
    </xf>
    <xf numFmtId="0" fontId="0" fillId="10" borderId="0" xfId="0" applyFill="1"/>
    <xf numFmtId="0" fontId="0" fillId="0" borderId="0" xfId="0"/>
    <xf numFmtId="0" fontId="5" fillId="8" borderId="0" xfId="0" applyFont="1" applyFill="1"/>
    <xf numFmtId="164" fontId="8" fillId="8" borderId="17" xfId="1" applyNumberFormat="1" applyFont="1" applyFill="1" applyBorder="1"/>
    <xf numFmtId="164" fontId="8" fillId="8" borderId="23" xfId="1" applyNumberFormat="1" applyFont="1" applyFill="1" applyBorder="1"/>
    <xf numFmtId="164" fontId="5" fillId="8" borderId="0" xfId="1" applyNumberFormat="1" applyFont="1" applyFill="1"/>
    <xf numFmtId="164" fontId="36" fillId="23" borderId="54" xfId="1" applyNumberFormat="1" applyFont="1" applyFill="1" applyBorder="1" applyAlignment="1">
      <alignment horizontal="center"/>
    </xf>
    <xf numFmtId="164" fontId="8" fillId="8" borderId="52" xfId="1" applyNumberFormat="1" applyFont="1" applyFill="1" applyBorder="1"/>
    <xf numFmtId="0" fontId="8" fillId="8" borderId="33" xfId="0" applyFont="1" applyFill="1" applyBorder="1"/>
    <xf numFmtId="164" fontId="8" fillId="8" borderId="54" xfId="1" applyNumberFormat="1" applyFont="1" applyFill="1" applyBorder="1"/>
    <xf numFmtId="164" fontId="8" fillId="17" borderId="56" xfId="1" applyNumberFormat="1" applyFont="1" applyFill="1" applyBorder="1"/>
    <xf numFmtId="164" fontId="8" fillId="17" borderId="52" xfId="1" applyNumberFormat="1" applyFont="1" applyFill="1" applyBorder="1"/>
    <xf numFmtId="164" fontId="8" fillId="12" borderId="23" xfId="1" applyNumberFormat="1" applyFont="1" applyFill="1" applyBorder="1"/>
    <xf numFmtId="164" fontId="8" fillId="12" borderId="59" xfId="1" applyNumberFormat="1" applyFont="1" applyFill="1" applyBorder="1"/>
    <xf numFmtId="164" fontId="8" fillId="12" borderId="52" xfId="1" applyNumberFormat="1" applyFont="1" applyFill="1" applyBorder="1"/>
    <xf numFmtId="164" fontId="8" fillId="12" borderId="17" xfId="1" applyNumberFormat="1" applyFont="1" applyFill="1" applyBorder="1"/>
    <xf numFmtId="164" fontId="29" fillId="12" borderId="23" xfId="1" applyNumberFormat="1" applyFont="1" applyFill="1" applyBorder="1"/>
    <xf numFmtId="164" fontId="8" fillId="12" borderId="54" xfId="1" applyNumberFormat="1" applyFont="1" applyFill="1" applyBorder="1"/>
    <xf numFmtId="164" fontId="29" fillId="12" borderId="54" xfId="1" applyNumberFormat="1" applyFont="1" applyFill="1" applyBorder="1"/>
    <xf numFmtId="164" fontId="8" fillId="8" borderId="17" xfId="1" applyNumberFormat="1" applyFont="1" applyFill="1" applyBorder="1"/>
    <xf numFmtId="164" fontId="8" fillId="8" borderId="23" xfId="1" applyNumberFormat="1" applyFont="1" applyFill="1" applyBorder="1"/>
    <xf numFmtId="0" fontId="36" fillId="23" borderId="33" xfId="0" applyFont="1" applyFill="1" applyBorder="1" applyAlignment="1">
      <alignment horizontal="center"/>
    </xf>
    <xf numFmtId="164" fontId="36" fillId="23" borderId="54" xfId="1" applyNumberFormat="1" applyFont="1" applyFill="1" applyBorder="1" applyAlignment="1">
      <alignment horizontal="center"/>
    </xf>
    <xf numFmtId="164" fontId="36" fillId="23" borderId="34" xfId="1" applyNumberFormat="1" applyFont="1" applyFill="1" applyBorder="1" applyAlignment="1">
      <alignment horizontal="center"/>
    </xf>
    <xf numFmtId="0" fontId="8" fillId="8" borderId="55" xfId="0" applyFont="1" applyFill="1" applyBorder="1"/>
    <xf numFmtId="164" fontId="8" fillId="8" borderId="56" xfId="1" applyNumberFormat="1" applyFont="1" applyFill="1" applyBorder="1"/>
    <xf numFmtId="164" fontId="8" fillId="19" borderId="57" xfId="1" applyNumberFormat="1" applyFont="1" applyFill="1" applyBorder="1"/>
    <xf numFmtId="0" fontId="8" fillId="8" borderId="51" xfId="0" applyFont="1" applyFill="1" applyBorder="1"/>
    <xf numFmtId="164" fontId="8" fillId="8" borderId="52" xfId="1" applyNumberFormat="1" applyFont="1" applyFill="1" applyBorder="1"/>
    <xf numFmtId="164" fontId="8" fillId="19" borderId="53" xfId="1" applyNumberFormat="1" applyFont="1" applyFill="1" applyBorder="1"/>
    <xf numFmtId="0" fontId="8" fillId="8" borderId="22" xfId="0" applyFont="1" applyFill="1" applyBorder="1"/>
    <xf numFmtId="164" fontId="8" fillId="19" borderId="24" xfId="1" applyNumberFormat="1" applyFont="1" applyFill="1" applyBorder="1"/>
    <xf numFmtId="0" fontId="8" fillId="8" borderId="58" xfId="0" applyFont="1" applyFill="1" applyBorder="1"/>
    <xf numFmtId="164" fontId="8" fillId="8" borderId="59" xfId="1" applyNumberFormat="1" applyFont="1" applyFill="1" applyBorder="1"/>
    <xf numFmtId="164" fontId="8" fillId="19" borderId="49" xfId="1" applyNumberFormat="1" applyFont="1" applyFill="1" applyBorder="1"/>
    <xf numFmtId="0" fontId="8" fillId="8" borderId="16" xfId="0" applyFont="1" applyFill="1" applyBorder="1"/>
    <xf numFmtId="164" fontId="8" fillId="19" borderId="18" xfId="1" applyNumberFormat="1" applyFont="1" applyFill="1" applyBorder="1"/>
    <xf numFmtId="0" fontId="8" fillId="8" borderId="33" xfId="0" applyFont="1" applyFill="1" applyBorder="1"/>
    <xf numFmtId="164" fontId="8" fillId="8" borderId="54" xfId="1" applyNumberFormat="1" applyFont="1" applyFill="1" applyBorder="1"/>
    <xf numFmtId="164" fontId="8" fillId="19" borderId="34" xfId="1" applyNumberFormat="1" applyFont="1" applyFill="1" applyBorder="1"/>
    <xf numFmtId="164" fontId="8" fillId="14" borderId="52" xfId="1" applyNumberFormat="1" applyFont="1" applyFill="1" applyBorder="1"/>
    <xf numFmtId="164" fontId="8" fillId="14" borderId="23" xfId="1" applyNumberFormat="1" applyFont="1" applyFill="1" applyBorder="1"/>
    <xf numFmtId="164" fontId="8" fillId="10" borderId="54" xfId="1" applyNumberFormat="1" applyFont="1" applyFill="1" applyBorder="1"/>
    <xf numFmtId="164" fontId="8" fillId="21" borderId="52" xfId="1" applyNumberFormat="1" applyFont="1" applyFill="1" applyBorder="1"/>
    <xf numFmtId="164" fontId="8" fillId="14" borderId="56" xfId="1" applyNumberFormat="1" applyFont="1" applyFill="1" applyBorder="1"/>
    <xf numFmtId="164" fontId="8" fillId="14" borderId="54" xfId="1" applyNumberFormat="1" applyFont="1" applyFill="1" applyBorder="1"/>
    <xf numFmtId="164" fontId="8" fillId="24" borderId="17" xfId="1" applyNumberFormat="1" applyFont="1" applyFill="1" applyBorder="1"/>
    <xf numFmtId="164" fontId="8" fillId="24" borderId="23" xfId="1" applyNumberFormat="1" applyFont="1" applyFill="1" applyBorder="1"/>
    <xf numFmtId="164" fontId="8" fillId="10" borderId="34" xfId="1" applyNumberFormat="1" applyFont="1" applyFill="1" applyBorder="1"/>
    <xf numFmtId="164" fontId="8" fillId="10" borderId="24" xfId="1" applyNumberFormat="1" applyFont="1" applyFill="1" applyBorder="1"/>
    <xf numFmtId="164" fontId="8" fillId="10" borderId="18" xfId="1" applyNumberFormat="1" applyFont="1" applyFill="1" applyBorder="1"/>
    <xf numFmtId="0" fontId="5" fillId="0" borderId="19" xfId="0" applyFont="1" applyBorder="1"/>
    <xf numFmtId="164" fontId="5" fillId="8" borderId="16" xfId="1" applyNumberFormat="1" applyFont="1" applyFill="1" applyBorder="1"/>
    <xf numFmtId="9" fontId="5" fillId="8" borderId="17" xfId="21" applyFont="1" applyFill="1" applyBorder="1"/>
    <xf numFmtId="164" fontId="5" fillId="8" borderId="17" xfId="1" applyNumberFormat="1" applyFont="1" applyFill="1" applyBorder="1"/>
    <xf numFmtId="9" fontId="5" fillId="8" borderId="18" xfId="21" applyFont="1" applyFill="1" applyBorder="1"/>
    <xf numFmtId="164" fontId="5" fillId="8" borderId="25" xfId="1" applyNumberFormat="1" applyFont="1" applyFill="1" applyBorder="1"/>
    <xf numFmtId="164" fontId="5" fillId="13" borderId="17" xfId="1" applyNumberFormat="1" applyFont="1" applyFill="1" applyBorder="1"/>
    <xf numFmtId="164" fontId="5" fillId="13" borderId="18" xfId="1" applyNumberFormat="1" applyFont="1" applyFill="1" applyBorder="1"/>
    <xf numFmtId="9" fontId="5" fillId="8" borderId="37" xfId="21" applyFont="1" applyFill="1" applyBorder="1"/>
    <xf numFmtId="164" fontId="37" fillId="8" borderId="0" xfId="0" applyNumberFormat="1" applyFont="1" applyFill="1"/>
    <xf numFmtId="165" fontId="5" fillId="8" borderId="16" xfId="21" applyNumberFormat="1" applyFont="1" applyFill="1" applyBorder="1"/>
    <xf numFmtId="165" fontId="5" fillId="8" borderId="17" xfId="21" applyNumberFormat="1" applyFont="1" applyFill="1" applyBorder="1"/>
    <xf numFmtId="165" fontId="5" fillId="8" borderId="18" xfId="21" applyNumberFormat="1" applyFont="1" applyFill="1" applyBorder="1"/>
    <xf numFmtId="164" fontId="5" fillId="21" borderId="17" xfId="1" applyNumberFormat="1" applyFont="1" applyFill="1" applyBorder="1"/>
    <xf numFmtId="164" fontId="5" fillId="21" borderId="18" xfId="1" applyNumberFormat="1" applyFont="1" applyFill="1" applyBorder="1"/>
    <xf numFmtId="164" fontId="5" fillId="14" borderId="17" xfId="1" applyNumberFormat="1" applyFont="1" applyFill="1" applyBorder="1"/>
    <xf numFmtId="164" fontId="5" fillId="14" borderId="18" xfId="1" applyNumberFormat="1" applyFont="1" applyFill="1" applyBorder="1"/>
    <xf numFmtId="0" fontId="5" fillId="0" borderId="32" xfId="0" applyFont="1" applyBorder="1"/>
    <xf numFmtId="164" fontId="5" fillId="8" borderId="30" xfId="1" applyNumberFormat="1" applyFont="1" applyFill="1" applyBorder="1"/>
    <xf numFmtId="9" fontId="5" fillId="8" borderId="28" xfId="21" applyFont="1" applyFill="1" applyBorder="1"/>
    <xf numFmtId="164" fontId="5" fillId="8" borderId="28" xfId="1" applyNumberFormat="1" applyFont="1" applyFill="1" applyBorder="1"/>
    <xf numFmtId="9" fontId="5" fillId="8" borderId="31" xfId="21" applyFont="1" applyFill="1" applyBorder="1"/>
    <xf numFmtId="164" fontId="5" fillId="8" borderId="29" xfId="1" applyNumberFormat="1" applyFont="1" applyFill="1" applyBorder="1"/>
    <xf numFmtId="164" fontId="5" fillId="13" borderId="28" xfId="1" applyNumberFormat="1" applyFont="1" applyFill="1" applyBorder="1"/>
    <xf numFmtId="164" fontId="5" fillId="13" borderId="31" xfId="1" applyNumberFormat="1" applyFont="1" applyFill="1" applyBorder="1"/>
    <xf numFmtId="9" fontId="5" fillId="8" borderId="39" xfId="21" applyFont="1" applyFill="1" applyBorder="1"/>
    <xf numFmtId="165" fontId="5" fillId="8" borderId="30" xfId="21" applyNumberFormat="1" applyFont="1" applyFill="1" applyBorder="1"/>
    <xf numFmtId="165" fontId="5" fillId="8" borderId="28" xfId="1" applyNumberFormat="1" applyFont="1" applyFill="1" applyBorder="1"/>
    <xf numFmtId="165" fontId="5" fillId="8" borderId="31" xfId="21" applyNumberFormat="1" applyFont="1" applyFill="1" applyBorder="1"/>
    <xf numFmtId="0" fontId="26" fillId="0" borderId="19" xfId="0" applyFont="1" applyBorder="1"/>
    <xf numFmtId="165" fontId="5" fillId="8" borderId="28" xfId="21" applyNumberFormat="1" applyFont="1" applyFill="1" applyBorder="1"/>
    <xf numFmtId="165" fontId="5" fillId="6" borderId="0" xfId="21" applyNumberFormat="1" applyFont="1" applyFill="1" applyBorder="1"/>
    <xf numFmtId="4" fontId="26" fillId="6" borderId="35" xfId="0" applyNumberFormat="1" applyFont="1" applyFill="1" applyBorder="1"/>
    <xf numFmtId="43" fontId="8" fillId="7" borderId="37" xfId="1" applyFont="1" applyFill="1" applyBorder="1"/>
    <xf numFmtId="43" fontId="25" fillId="7" borderId="37" xfId="1" applyFont="1" applyFill="1" applyBorder="1"/>
    <xf numFmtId="43" fontId="8" fillId="7" borderId="36" xfId="1" applyFont="1" applyFill="1" applyBorder="1"/>
    <xf numFmtId="164" fontId="5" fillId="8" borderId="0" xfId="0" applyNumberFormat="1" applyFont="1" applyFill="1"/>
    <xf numFmtId="164" fontId="8" fillId="13" borderId="36" xfId="1" applyNumberFormat="1" applyFont="1" applyFill="1" applyBorder="1"/>
    <xf numFmtId="164" fontId="8" fillId="13" borderId="37" xfId="1" applyNumberFormat="1" applyFont="1" applyFill="1" applyBorder="1"/>
    <xf numFmtId="164" fontId="25" fillId="13" borderId="37" xfId="1" applyNumberFormat="1" applyFont="1" applyFill="1" applyBorder="1"/>
    <xf numFmtId="164" fontId="8" fillId="13" borderId="47" xfId="1" applyNumberFormat="1" applyFont="1" applyFill="1" applyBorder="1"/>
    <xf numFmtId="164" fontId="8" fillId="13" borderId="38" xfId="1" applyNumberFormat="1" applyFont="1" applyFill="1" applyBorder="1"/>
    <xf numFmtId="0" fontId="8" fillId="8" borderId="0" xfId="0" applyFont="1" applyFill="1" applyAlignment="1">
      <alignment horizontal="right"/>
    </xf>
    <xf numFmtId="0" fontId="8" fillId="8" borderId="0" xfId="0" applyFont="1" applyFill="1" applyAlignment="1">
      <alignment horizontal="left"/>
    </xf>
    <xf numFmtId="43" fontId="8" fillId="11" borderId="37" xfId="1" applyFont="1" applyFill="1" applyBorder="1"/>
    <xf numFmtId="43" fontId="8" fillId="7" borderId="37" xfId="1" applyNumberFormat="1" applyFont="1" applyFill="1" applyBorder="1"/>
    <xf numFmtId="0" fontId="8" fillId="11" borderId="0" xfId="0" applyFont="1" applyFill="1"/>
    <xf numFmtId="164" fontId="0" fillId="0" borderId="0" xfId="1" applyNumberFormat="1" applyFont="1"/>
    <xf numFmtId="0" fontId="8" fillId="6" borderId="33" xfId="0" applyFont="1" applyFill="1" applyBorder="1"/>
    <xf numFmtId="0" fontId="8" fillId="19" borderId="51" xfId="0" applyFont="1" applyFill="1" applyBorder="1"/>
    <xf numFmtId="0" fontId="8" fillId="19" borderId="16" xfId="0" applyFont="1" applyFill="1" applyBorder="1"/>
    <xf numFmtId="0" fontId="8" fillId="19" borderId="22" xfId="0" applyFont="1" applyFill="1" applyBorder="1"/>
    <xf numFmtId="168" fontId="25" fillId="13" borderId="37" xfId="1" applyNumberFormat="1" applyFont="1" applyFill="1" applyBorder="1"/>
    <xf numFmtId="164" fontId="8" fillId="19" borderId="47" xfId="1" applyNumberFormat="1" applyFont="1" applyFill="1" applyBorder="1"/>
    <xf numFmtId="164" fontId="8" fillId="19" borderId="38" xfId="1" applyNumberFormat="1" applyFont="1" applyFill="1" applyBorder="1"/>
    <xf numFmtId="164" fontId="8" fillId="8" borderId="36" xfId="1" applyNumberFormat="1" applyFont="1" applyFill="1" applyBorder="1"/>
    <xf numFmtId="164" fontId="8" fillId="8" borderId="37" xfId="1" applyNumberFormat="1" applyFont="1" applyFill="1" applyBorder="1"/>
    <xf numFmtId="164" fontId="25" fillId="8" borderId="37" xfId="1" applyNumberFormat="1" applyFont="1" applyFill="1" applyBorder="1"/>
    <xf numFmtId="164" fontId="8" fillId="8" borderId="47" xfId="1" applyNumberFormat="1" applyFont="1" applyFill="1" applyBorder="1"/>
    <xf numFmtId="164" fontId="37" fillId="8" borderId="0" xfId="1" applyNumberFormat="1" applyFont="1" applyFill="1"/>
    <xf numFmtId="0" fontId="5" fillId="15" borderId="33" xfId="0" applyFont="1" applyFill="1" applyBorder="1" applyAlignment="1">
      <alignment horizontal="center" vertical="center" wrapText="1"/>
    </xf>
    <xf numFmtId="0" fontId="19" fillId="8" borderId="0" xfId="0" applyFont="1" applyFill="1" applyAlignment="1">
      <alignment horizontal="center" vertical="center" wrapText="1"/>
    </xf>
    <xf numFmtId="0" fontId="5" fillId="17" borderId="33" xfId="0" applyFont="1" applyFill="1" applyBorder="1" applyAlignment="1">
      <alignment horizontal="center" vertical="center" wrapText="1"/>
    </xf>
    <xf numFmtId="0" fontId="5" fillId="19" borderId="33" xfId="0" applyFont="1" applyFill="1" applyBorder="1" applyAlignment="1">
      <alignment horizontal="center" vertical="center" wrapText="1"/>
    </xf>
    <xf numFmtId="0" fontId="20" fillId="15" borderId="6" xfId="0" applyFont="1" applyFill="1" applyBorder="1"/>
    <xf numFmtId="0" fontId="20" fillId="8" borderId="0" xfId="0" applyFont="1" applyFill="1"/>
    <xf numFmtId="0" fontId="5" fillId="15" borderId="7" xfId="0" applyFont="1" applyFill="1" applyBorder="1" applyAlignment="1">
      <alignment horizontal="center" vertical="center" wrapText="1"/>
    </xf>
    <xf numFmtId="0" fontId="20" fillId="15" borderId="60" xfId="0" applyFont="1" applyFill="1" applyBorder="1" applyAlignment="1">
      <alignment horizontal="centerContinuous"/>
    </xf>
    <xf numFmtId="0" fontId="20" fillId="15" borderId="5" xfId="0" applyFont="1" applyFill="1" applyBorder="1" applyAlignment="1">
      <alignment horizontal="centerContinuous"/>
    </xf>
    <xf numFmtId="0" fontId="20" fillId="17" borderId="4" xfId="0" applyFont="1" applyFill="1" applyBorder="1" applyAlignment="1">
      <alignment horizontal="centerContinuous"/>
    </xf>
    <xf numFmtId="0" fontId="20" fillId="17" borderId="60" xfId="0" applyFont="1" applyFill="1" applyBorder="1" applyAlignment="1">
      <alignment horizontal="centerContinuous"/>
    </xf>
    <xf numFmtId="0" fontId="20" fillId="17" borderId="5" xfId="0" applyFont="1" applyFill="1" applyBorder="1" applyAlignment="1">
      <alignment horizontal="centerContinuous"/>
    </xf>
    <xf numFmtId="0" fontId="20" fillId="19" borderId="4" xfId="0" applyFont="1" applyFill="1" applyBorder="1" applyAlignment="1">
      <alignment horizontal="centerContinuous"/>
    </xf>
    <xf numFmtId="0" fontId="20" fillId="19" borderId="60" xfId="0" applyFont="1" applyFill="1" applyBorder="1" applyAlignment="1">
      <alignment horizontal="centerContinuous"/>
    </xf>
    <xf numFmtId="0" fontId="20" fillId="19" borderId="5" xfId="0" applyFont="1" applyFill="1" applyBorder="1" applyAlignment="1">
      <alignment horizontal="centerContinuous"/>
    </xf>
    <xf numFmtId="43" fontId="22" fillId="8" borderId="0" xfId="0" applyNumberFormat="1" applyFont="1" applyFill="1"/>
    <xf numFmtId="0" fontId="20" fillId="7" borderId="4" xfId="0" applyFont="1" applyFill="1" applyBorder="1" applyAlignment="1">
      <alignment horizontal="centerContinuous"/>
    </xf>
    <xf numFmtId="0" fontId="20" fillId="7" borderId="60" xfId="0" applyFont="1" applyFill="1" applyBorder="1" applyAlignment="1">
      <alignment horizontal="centerContinuous"/>
    </xf>
    <xf numFmtId="0" fontId="20" fillId="7" borderId="5" xfId="0" applyFont="1" applyFill="1" applyBorder="1" applyAlignment="1">
      <alignment horizontal="centerContinuous"/>
    </xf>
    <xf numFmtId="164" fontId="8" fillId="0" borderId="16" xfId="1" applyNumberFormat="1" applyFont="1" applyBorder="1"/>
    <xf numFmtId="164" fontId="8" fillId="0" borderId="17" xfId="1" applyNumberFormat="1" applyFont="1" applyBorder="1"/>
    <xf numFmtId="164" fontId="8" fillId="0" borderId="18" xfId="1" applyNumberFormat="1" applyFont="1" applyBorder="1"/>
    <xf numFmtId="164" fontId="25" fillId="0" borderId="16" xfId="1" applyNumberFormat="1" applyFont="1" applyBorder="1"/>
    <xf numFmtId="164" fontId="25" fillId="0" borderId="17" xfId="1" applyNumberFormat="1" applyFont="1" applyBorder="1"/>
    <xf numFmtId="164" fontId="25" fillId="0" borderId="18" xfId="1" applyNumberFormat="1" applyFont="1" applyBorder="1"/>
    <xf numFmtId="164" fontId="25" fillId="0" borderId="22" xfId="1" applyNumberFormat="1" applyFont="1" applyBorder="1"/>
    <xf numFmtId="164" fontId="25" fillId="0" borderId="23" xfId="1" applyNumberFormat="1" applyFont="1" applyBorder="1"/>
    <xf numFmtId="164" fontId="25" fillId="0" borderId="24" xfId="1" applyNumberFormat="1" applyFont="1" applyBorder="1"/>
    <xf numFmtId="164" fontId="8" fillId="0" borderId="30" xfId="1" applyNumberFormat="1" applyFont="1" applyBorder="1"/>
    <xf numFmtId="164" fontId="8" fillId="0" borderId="28" xfId="1" applyNumberFormat="1" applyFont="1" applyBorder="1"/>
    <xf numFmtId="0" fontId="5" fillId="15" borderId="54" xfId="0" applyFont="1" applyFill="1" applyBorder="1" applyAlignment="1">
      <alignment horizontal="center" vertical="center" wrapText="1"/>
    </xf>
    <xf numFmtId="0" fontId="5" fillId="15" borderId="34" xfId="0" applyFont="1" applyFill="1" applyBorder="1" applyAlignment="1">
      <alignment horizontal="center" vertical="center" wrapText="1"/>
    </xf>
    <xf numFmtId="0" fontId="5" fillId="17" borderId="54" xfId="0" applyFont="1" applyFill="1" applyBorder="1" applyAlignment="1">
      <alignment horizontal="center" vertical="center" wrapText="1"/>
    </xf>
    <xf numFmtId="0" fontId="5" fillId="17" borderId="34" xfId="0" applyFont="1" applyFill="1" applyBorder="1" applyAlignment="1">
      <alignment horizontal="center" vertical="center" wrapText="1"/>
    </xf>
    <xf numFmtId="0" fontId="5" fillId="19" borderId="54" xfId="0" applyFont="1" applyFill="1" applyBorder="1" applyAlignment="1">
      <alignment horizontal="center" vertical="center" wrapText="1"/>
    </xf>
    <xf numFmtId="0" fontId="5" fillId="19" borderId="34" xfId="0" applyFont="1" applyFill="1" applyBorder="1" applyAlignment="1">
      <alignment horizontal="center" vertical="center" wrapText="1"/>
    </xf>
    <xf numFmtId="0" fontId="5" fillId="7" borderId="33" xfId="0" applyFont="1" applyFill="1" applyBorder="1" applyAlignment="1">
      <alignment horizontal="center" vertical="center" wrapText="1"/>
    </xf>
    <xf numFmtId="0" fontId="5" fillId="7" borderId="54"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22" fillId="8" borderId="0" xfId="0" applyFont="1" applyFill="1"/>
    <xf numFmtId="43" fontId="8" fillId="0" borderId="31" xfId="1" applyNumberFormat="1" applyFont="1" applyBorder="1"/>
    <xf numFmtId="43" fontId="8" fillId="0" borderId="18" xfId="1" applyNumberFormat="1" applyFont="1" applyBorder="1"/>
    <xf numFmtId="43" fontId="25" fillId="0" borderId="18" xfId="1" applyNumberFormat="1" applyFont="1" applyBorder="1"/>
    <xf numFmtId="43" fontId="25" fillId="0" borderId="24" xfId="1" applyNumberFormat="1" applyFont="1" applyBorder="1"/>
    <xf numFmtId="43" fontId="20" fillId="8" borderId="0" xfId="1" applyNumberFormat="1" applyFont="1" applyFill="1"/>
    <xf numFmtId="164" fontId="25" fillId="11" borderId="18" xfId="1" applyNumberFormat="1" applyFont="1" applyFill="1" applyBorder="1"/>
    <xf numFmtId="164" fontId="8" fillId="0" borderId="51" xfId="1" applyNumberFormat="1" applyFont="1" applyBorder="1"/>
    <xf numFmtId="164" fontId="8" fillId="0" borderId="52" xfId="1" applyNumberFormat="1" applyFont="1" applyBorder="1"/>
    <xf numFmtId="164" fontId="8" fillId="0" borderId="53" xfId="1" applyNumberFormat="1" applyFont="1" applyBorder="1"/>
    <xf numFmtId="164" fontId="25" fillId="11" borderId="24" xfId="1" applyNumberFormat="1" applyFont="1" applyFill="1" applyBorder="1"/>
    <xf numFmtId="164" fontId="25" fillId="13" borderId="17" xfId="1" applyNumberFormat="1" applyFont="1" applyFill="1" applyBorder="1"/>
    <xf numFmtId="164" fontId="25" fillId="13" borderId="23" xfId="1" applyNumberFormat="1" applyFont="1" applyFill="1" applyBorder="1"/>
    <xf numFmtId="165" fontId="20" fillId="8" borderId="0" xfId="21" applyNumberFormat="1" applyFont="1" applyFill="1"/>
    <xf numFmtId="0" fontId="8" fillId="26" borderId="4" xfId="0" applyFont="1" applyFill="1" applyBorder="1"/>
    <xf numFmtId="0" fontId="8" fillId="26" borderId="60" xfId="0" applyFont="1" applyFill="1" applyBorder="1"/>
    <xf numFmtId="0" fontId="8" fillId="26" borderId="5" xfId="0" applyFont="1" applyFill="1" applyBorder="1"/>
    <xf numFmtId="0" fontId="8" fillId="26" borderId="61" xfId="0" applyFont="1" applyFill="1" applyBorder="1"/>
    <xf numFmtId="0" fontId="8" fillId="26" borderId="0" xfId="0" applyFont="1" applyFill="1" applyBorder="1"/>
    <xf numFmtId="0" fontId="8" fillId="26" borderId="62" xfId="0" applyFont="1" applyFill="1" applyBorder="1"/>
    <xf numFmtId="0" fontId="8" fillId="26" borderId="7" xfId="0" applyFont="1" applyFill="1" applyBorder="1"/>
    <xf numFmtId="0" fontId="8" fillId="26" borderId="8" xfId="0" applyFont="1" applyFill="1" applyBorder="1"/>
    <xf numFmtId="0" fontId="8" fillId="26" borderId="63" xfId="0" applyFont="1" applyFill="1" applyBorder="1"/>
    <xf numFmtId="164" fontId="38" fillId="26" borderId="37" xfId="1" applyNumberFormat="1" applyFont="1" applyFill="1" applyBorder="1"/>
    <xf numFmtId="0" fontId="35" fillId="26" borderId="0" xfId="0" applyFont="1" applyFill="1" applyBorder="1"/>
    <xf numFmtId="0" fontId="5" fillId="17" borderId="9" xfId="0" applyFont="1" applyFill="1" applyBorder="1" applyAlignment="1">
      <alignment horizontal="center"/>
    </xf>
    <xf numFmtId="0" fontId="5" fillId="17" borderId="49" xfId="0" applyFont="1" applyFill="1" applyBorder="1" applyAlignment="1">
      <alignment horizontal="center"/>
    </xf>
    <xf numFmtId="0" fontId="29" fillId="26" borderId="2" xfId="0" applyFont="1" applyFill="1" applyBorder="1"/>
    <xf numFmtId="0" fontId="29" fillId="26" borderId="3" xfId="0" applyFont="1" applyFill="1" applyBorder="1"/>
    <xf numFmtId="0" fontId="35" fillId="26" borderId="1" xfId="0" applyFont="1" applyFill="1" applyBorder="1"/>
    <xf numFmtId="164" fontId="38" fillId="26" borderId="2" xfId="0" applyNumberFormat="1" applyFont="1" applyFill="1" applyBorder="1"/>
    <xf numFmtId="0" fontId="8" fillId="27" borderId="0" xfId="0" applyFont="1" applyFill="1"/>
    <xf numFmtId="0" fontId="39" fillId="27" borderId="64" xfId="0" applyFont="1" applyFill="1" applyBorder="1" applyAlignment="1">
      <alignment horizontal="center" vertical="top" wrapText="1"/>
    </xf>
    <xf numFmtId="0" fontId="40" fillId="27" borderId="64" xfId="0" applyFont="1" applyFill="1" applyBorder="1" applyAlignment="1">
      <alignment horizontal="left" vertical="top" wrapText="1"/>
    </xf>
    <xf numFmtId="9" fontId="40" fillId="27" borderId="64" xfId="0" applyNumberFormat="1" applyFont="1" applyFill="1" applyBorder="1" applyAlignment="1">
      <alignment horizontal="center" vertical="top" wrapText="1"/>
    </xf>
    <xf numFmtId="0" fontId="40" fillId="27" borderId="64" xfId="0" applyFont="1" applyFill="1" applyBorder="1" applyAlignment="1">
      <alignment horizontal="center" vertical="top" wrapText="1"/>
    </xf>
    <xf numFmtId="43" fontId="27" fillId="8" borderId="0" xfId="0" applyNumberFormat="1" applyFont="1" applyFill="1"/>
    <xf numFmtId="0" fontId="0" fillId="0" borderId="17" xfId="0" applyBorder="1"/>
    <xf numFmtId="14" fontId="0" fillId="0" borderId="17" xfId="0" applyNumberFormat="1" applyBorder="1"/>
    <xf numFmtId="0" fontId="0" fillId="0" borderId="62" xfId="0" applyBorder="1"/>
    <xf numFmtId="10" fontId="1" fillId="0" borderId="62" xfId="21" applyNumberFormat="1" applyFont="1" applyBorder="1"/>
    <xf numFmtId="10" fontId="0" fillId="0" borderId="62" xfId="0" applyNumberFormat="1" applyBorder="1"/>
    <xf numFmtId="0" fontId="2" fillId="28" borderId="17" xfId="0" applyFont="1" applyFill="1" applyBorder="1"/>
    <xf numFmtId="4" fontId="0" fillId="0" borderId="17" xfId="0" applyNumberFormat="1" applyBorder="1"/>
    <xf numFmtId="4" fontId="0" fillId="0" borderId="0" xfId="0" applyNumberFormat="1"/>
    <xf numFmtId="10" fontId="1" fillId="0" borderId="0" xfId="21" applyNumberFormat="1" applyFont="1"/>
    <xf numFmtId="4" fontId="0" fillId="0" borderId="0" xfId="0" applyNumberFormat="1" applyAlignment="1">
      <alignment vertical="center"/>
    </xf>
    <xf numFmtId="8" fontId="0" fillId="0" borderId="0" xfId="0" applyNumberFormat="1"/>
    <xf numFmtId="0" fontId="0" fillId="17" borderId="4" xfId="0" applyFill="1" applyBorder="1"/>
    <xf numFmtId="0" fontId="0" fillId="17" borderId="60" xfId="0" applyFill="1" applyBorder="1"/>
    <xf numFmtId="0" fontId="0" fillId="17" borderId="5" xfId="0" applyFill="1" applyBorder="1"/>
    <xf numFmtId="0" fontId="0" fillId="17" borderId="61" xfId="0" applyFill="1" applyBorder="1"/>
    <xf numFmtId="4" fontId="0" fillId="17" borderId="0" xfId="0" applyNumberFormat="1" applyFill="1" applyBorder="1"/>
    <xf numFmtId="4" fontId="0" fillId="17" borderId="62" xfId="0" applyNumberFormat="1" applyFill="1" applyBorder="1"/>
    <xf numFmtId="0" fontId="0" fillId="17" borderId="7" xfId="0" applyFill="1" applyBorder="1"/>
    <xf numFmtId="4" fontId="0" fillId="17" borderId="8" xfId="0" applyNumberFormat="1" applyFill="1" applyBorder="1"/>
    <xf numFmtId="4" fontId="0" fillId="17" borderId="63" xfId="0" applyNumberFormat="1" applyFill="1" applyBorder="1"/>
    <xf numFmtId="4" fontId="2" fillId="0" borderId="0" xfId="0" applyNumberFormat="1" applyFont="1"/>
    <xf numFmtId="0" fontId="2" fillId="0" borderId="0" xfId="0" applyFont="1"/>
    <xf numFmtId="4" fontId="0" fillId="26" borderId="0" xfId="0" applyNumberFormat="1" applyFill="1"/>
    <xf numFmtId="0" fontId="12" fillId="8" borderId="0" xfId="0" applyFont="1" applyFill="1"/>
    <xf numFmtId="0" fontId="41" fillId="14" borderId="0" xfId="0" applyFont="1" applyFill="1"/>
    <xf numFmtId="0" fontId="42" fillId="3" borderId="35" xfId="0" applyFont="1" applyFill="1" applyBorder="1" applyAlignment="1">
      <alignment horizontal="center" vertical="center"/>
    </xf>
    <xf numFmtId="0" fontId="10" fillId="4" borderId="3" xfId="0" applyFont="1" applyFill="1" applyBorder="1" applyAlignment="1">
      <alignment horizontal="center" vertical="center"/>
    </xf>
    <xf numFmtId="0" fontId="10" fillId="4" borderId="3" xfId="0" applyFont="1" applyFill="1" applyBorder="1" applyAlignment="1">
      <alignment horizontal="center" vertical="center" wrapText="1"/>
    </xf>
    <xf numFmtId="0" fontId="43" fillId="10" borderId="9" xfId="0" applyFont="1" applyFill="1" applyBorder="1" applyAlignment="1">
      <alignment vertical="center"/>
    </xf>
    <xf numFmtId="4" fontId="43" fillId="10" borderId="63" xfId="0" applyNumberFormat="1" applyFont="1" applyFill="1" applyBorder="1" applyAlignment="1">
      <alignment horizontal="right" vertical="center"/>
    </xf>
    <xf numFmtId="0" fontId="43" fillId="0" borderId="36" xfId="0" applyFont="1" applyBorder="1" applyAlignment="1">
      <alignment vertical="center"/>
    </xf>
    <xf numFmtId="4" fontId="43" fillId="0" borderId="12" xfId="0" applyNumberFormat="1" applyFont="1" applyBorder="1" applyAlignment="1">
      <alignment horizontal="right" vertical="center"/>
    </xf>
    <xf numFmtId="0" fontId="9" fillId="0" borderId="37" xfId="0" applyFont="1" applyBorder="1" applyAlignment="1">
      <alignment horizontal="left" vertical="center" indent="2"/>
    </xf>
    <xf numFmtId="4" fontId="9" fillId="6" borderId="21" xfId="0" applyNumberFormat="1" applyFont="1" applyFill="1" applyBorder="1" applyAlignment="1">
      <alignment horizontal="right" vertical="center"/>
    </xf>
    <xf numFmtId="4" fontId="13" fillId="6" borderId="21" xfId="0" applyNumberFormat="1" applyFont="1" applyFill="1" applyBorder="1" applyAlignment="1">
      <alignment horizontal="right" vertical="center"/>
    </xf>
    <xf numFmtId="0" fontId="43" fillId="0" borderId="37" xfId="0" applyFont="1" applyBorder="1" applyAlignment="1">
      <alignment vertical="center"/>
    </xf>
    <xf numFmtId="4" fontId="43" fillId="0" borderId="21" xfId="0" applyNumberFormat="1" applyFont="1" applyBorder="1" applyAlignment="1">
      <alignment horizontal="right" vertical="center"/>
    </xf>
    <xf numFmtId="4" fontId="43" fillId="0" borderId="21" xfId="0" applyNumberFormat="1" applyFont="1" applyFill="1" applyBorder="1" applyAlignment="1">
      <alignment horizontal="right" vertical="center"/>
    </xf>
    <xf numFmtId="0" fontId="43" fillId="0" borderId="38" xfId="0" applyFont="1" applyBorder="1" applyAlignment="1">
      <alignment vertical="center"/>
    </xf>
    <xf numFmtId="4" fontId="43" fillId="0" borderId="67" xfId="0" applyNumberFormat="1" applyFont="1" applyFill="1" applyBorder="1" applyAlignment="1">
      <alignment horizontal="right" vertical="center"/>
    </xf>
    <xf numFmtId="4" fontId="12" fillId="0" borderId="36" xfId="0" applyNumberFormat="1" applyFont="1" applyBorder="1" applyAlignment="1">
      <alignment vertical="center"/>
    </xf>
    <xf numFmtId="0" fontId="9" fillId="0" borderId="19" xfId="0" applyFont="1" applyBorder="1" applyAlignment="1">
      <alignment horizontal="left" vertical="center" indent="2"/>
    </xf>
    <xf numFmtId="4" fontId="9" fillId="6" borderId="37" xfId="0" applyNumberFormat="1" applyFont="1" applyFill="1" applyBorder="1" applyAlignment="1">
      <alignment horizontal="right" vertical="center"/>
    </xf>
    <xf numFmtId="0" fontId="9" fillId="0" borderId="37" xfId="0" applyFont="1" applyBorder="1" applyAlignment="1">
      <alignment horizontal="left" vertical="center" indent="4"/>
    </xf>
    <xf numFmtId="4" fontId="9" fillId="15" borderId="21" xfId="0" applyNumberFormat="1" applyFont="1" applyFill="1" applyBorder="1" applyAlignment="1">
      <alignment horizontal="right" vertical="center"/>
    </xf>
    <xf numFmtId="4" fontId="43" fillId="0" borderId="67" xfId="0" applyNumberFormat="1" applyFont="1" applyBorder="1" applyAlignment="1">
      <alignment horizontal="right" vertical="center"/>
    </xf>
    <xf numFmtId="0" fontId="43" fillId="4" borderId="9" xfId="0" applyFont="1" applyFill="1" applyBorder="1" applyAlignment="1">
      <alignment horizontal="center" vertical="center"/>
    </xf>
    <xf numFmtId="4" fontId="43" fillId="4" borderId="63" xfId="0" applyNumberFormat="1" applyFont="1" applyFill="1" applyBorder="1" applyAlignment="1">
      <alignment horizontal="right" vertical="center"/>
    </xf>
    <xf numFmtId="4" fontId="43" fillId="10" borderId="9" xfId="0" applyNumberFormat="1" applyFont="1" applyFill="1" applyBorder="1" applyAlignment="1">
      <alignment vertical="center"/>
    </xf>
    <xf numFmtId="4" fontId="43" fillId="29" borderId="21" xfId="0" applyNumberFormat="1" applyFont="1" applyFill="1" applyBorder="1" applyAlignment="1">
      <alignment horizontal="right" vertical="center"/>
    </xf>
    <xf numFmtId="4" fontId="9" fillId="29" borderId="21" xfId="0" applyNumberFormat="1" applyFont="1" applyFill="1" applyBorder="1" applyAlignment="1">
      <alignment horizontal="right" vertical="center"/>
    </xf>
    <xf numFmtId="4" fontId="9" fillId="8" borderId="21" xfId="0" applyNumberFormat="1" applyFont="1" applyFill="1" applyBorder="1" applyAlignment="1">
      <alignment horizontal="right" vertical="center"/>
    </xf>
    <xf numFmtId="4" fontId="43" fillId="0" borderId="12" xfId="0" applyNumberFormat="1" applyFont="1" applyFill="1" applyBorder="1" applyAlignment="1">
      <alignment horizontal="right" vertical="center"/>
    </xf>
    <xf numFmtId="0" fontId="42" fillId="4" borderId="9" xfId="0" applyFont="1" applyFill="1" applyBorder="1" applyAlignment="1">
      <alignment horizontal="center" vertical="center"/>
    </xf>
    <xf numFmtId="0" fontId="0" fillId="8" borderId="0" xfId="0" applyFill="1"/>
    <xf numFmtId="0" fontId="10" fillId="4" borderId="35" xfId="0" applyFont="1" applyFill="1" applyBorder="1" applyAlignment="1">
      <alignment horizontal="center" vertical="center" wrapText="1"/>
    </xf>
    <xf numFmtId="0" fontId="2" fillId="8" borderId="0" xfId="0" applyFont="1" applyFill="1"/>
    <xf numFmtId="4" fontId="9" fillId="12" borderId="21" xfId="0" applyNumberFormat="1" applyFont="1" applyFill="1" applyBorder="1" applyAlignment="1">
      <alignment horizontal="right" vertical="center"/>
    </xf>
    <xf numFmtId="4" fontId="43" fillId="12" borderId="21" xfId="0" applyNumberFormat="1" applyFont="1" applyFill="1" applyBorder="1" applyAlignment="1">
      <alignment horizontal="right" vertical="center"/>
    </xf>
    <xf numFmtId="4" fontId="43" fillId="12" borderId="67" xfId="0" applyNumberFormat="1" applyFont="1" applyFill="1" applyBorder="1" applyAlignment="1">
      <alignment horizontal="right" vertical="center"/>
    </xf>
    <xf numFmtId="4" fontId="43" fillId="13" borderId="36" xfId="0" applyNumberFormat="1" applyFont="1" applyFill="1" applyBorder="1" applyAlignment="1">
      <alignment horizontal="right" vertical="center"/>
    </xf>
    <xf numFmtId="4" fontId="9" fillId="13" borderId="37" xfId="0" applyNumberFormat="1" applyFont="1" applyFill="1" applyBorder="1" applyAlignment="1">
      <alignment horizontal="right" vertical="center"/>
    </xf>
    <xf numFmtId="4" fontId="43" fillId="13" borderId="37" xfId="0" applyNumberFormat="1" applyFont="1" applyFill="1" applyBorder="1" applyAlignment="1">
      <alignment horizontal="right" vertical="center"/>
    </xf>
    <xf numFmtId="4" fontId="43" fillId="13" borderId="38" xfId="0" applyNumberFormat="1" applyFont="1" applyFill="1" applyBorder="1" applyAlignment="1">
      <alignment horizontal="right" vertical="center"/>
    </xf>
    <xf numFmtId="43" fontId="0" fillId="8" borderId="0" xfId="1" applyFont="1" applyFill="1"/>
    <xf numFmtId="0" fontId="45" fillId="19" borderId="35" xfId="0" applyFont="1" applyFill="1" applyBorder="1" applyAlignment="1">
      <alignment vertical="center"/>
    </xf>
    <xf numFmtId="0" fontId="45" fillId="19" borderId="9" xfId="0" applyFont="1" applyFill="1" applyBorder="1" applyAlignment="1">
      <alignment vertical="center"/>
    </xf>
    <xf numFmtId="3" fontId="45" fillId="7" borderId="35" xfId="0" applyNumberFormat="1" applyFont="1" applyFill="1" applyBorder="1" applyAlignment="1">
      <alignment vertical="center"/>
    </xf>
    <xf numFmtId="169" fontId="45" fillId="7" borderId="9" xfId="0" applyNumberFormat="1" applyFont="1" applyFill="1" applyBorder="1" applyAlignment="1">
      <alignment vertical="center"/>
    </xf>
    <xf numFmtId="0" fontId="0" fillId="14" borderId="0" xfId="0" applyFill="1"/>
    <xf numFmtId="43" fontId="19" fillId="8" borderId="0" xfId="1" applyFont="1" applyFill="1"/>
    <xf numFmtId="4" fontId="43" fillId="10" borderId="35" xfId="0" applyNumberFormat="1" applyFont="1" applyFill="1" applyBorder="1" applyAlignment="1">
      <alignment horizontal="right" vertical="center"/>
    </xf>
    <xf numFmtId="4" fontId="43" fillId="0" borderId="36" xfId="0" applyNumberFormat="1" applyFont="1" applyBorder="1" applyAlignment="1">
      <alignment horizontal="right" vertical="center"/>
    </xf>
    <xf numFmtId="4" fontId="43" fillId="0" borderId="37" xfId="0" applyNumberFormat="1" applyFont="1" applyBorder="1" applyAlignment="1">
      <alignment horizontal="right" vertical="center"/>
    </xf>
    <xf numFmtId="4" fontId="43" fillId="10" borderId="9" xfId="0" applyNumberFormat="1" applyFont="1" applyFill="1" applyBorder="1" applyAlignment="1">
      <alignment horizontal="right" vertical="center"/>
    </xf>
    <xf numFmtId="4" fontId="43" fillId="4" borderId="9" xfId="0" applyNumberFormat="1" applyFont="1" applyFill="1" applyBorder="1" applyAlignment="1">
      <alignment horizontal="right" vertical="center"/>
    </xf>
    <xf numFmtId="4" fontId="43" fillId="0" borderId="37" xfId="0" applyNumberFormat="1" applyFont="1" applyFill="1" applyBorder="1" applyAlignment="1">
      <alignment horizontal="right" vertical="center"/>
    </xf>
    <xf numFmtId="164" fontId="0" fillId="8" borderId="0" xfId="1" applyNumberFormat="1" applyFont="1" applyFill="1"/>
    <xf numFmtId="4" fontId="0" fillId="8" borderId="0" xfId="0" applyNumberFormat="1" applyFill="1"/>
    <xf numFmtId="0" fontId="0" fillId="8" borderId="0" xfId="0" applyFill="1" applyAlignment="1">
      <alignment horizontal="right"/>
    </xf>
    <xf numFmtId="164" fontId="0" fillId="8" borderId="17" xfId="1" applyNumberFormat="1" applyFont="1" applyFill="1" applyBorder="1"/>
    <xf numFmtId="0" fontId="2" fillId="8" borderId="0" xfId="0" applyFont="1" applyFill="1" applyAlignment="1">
      <alignment horizontal="right"/>
    </xf>
    <xf numFmtId="0" fontId="0" fillId="8" borderId="0" xfId="0" applyFill="1" applyAlignment="1">
      <alignment horizontal="left"/>
    </xf>
    <xf numFmtId="43" fontId="0" fillId="8" borderId="0" xfId="0" applyNumberFormat="1" applyFill="1"/>
    <xf numFmtId="3" fontId="45" fillId="7" borderId="0" xfId="0" applyNumberFormat="1" applyFont="1" applyFill="1" applyBorder="1" applyAlignment="1">
      <alignment vertical="center"/>
    </xf>
    <xf numFmtId="169" fontId="45" fillId="7" borderId="0" xfId="0" applyNumberFormat="1" applyFont="1" applyFill="1" applyBorder="1" applyAlignment="1">
      <alignment vertical="center"/>
    </xf>
    <xf numFmtId="0" fontId="0" fillId="7" borderId="0" xfId="0" applyFill="1"/>
    <xf numFmtId="0" fontId="0" fillId="17" borderId="0" xfId="0" applyFill="1"/>
    <xf numFmtId="0" fontId="5" fillId="8" borderId="0" xfId="0" applyFont="1" applyFill="1" applyAlignment="1">
      <alignment horizontal="left"/>
    </xf>
    <xf numFmtId="164" fontId="5" fillId="8" borderId="17" xfId="0" applyNumberFormat="1" applyFont="1" applyFill="1" applyBorder="1"/>
    <xf numFmtId="43" fontId="37" fillId="8" borderId="0" xfId="1" applyNumberFormat="1" applyFont="1" applyFill="1"/>
    <xf numFmtId="164" fontId="8" fillId="11" borderId="17" xfId="1" applyNumberFormat="1" applyFont="1" applyFill="1" applyBorder="1"/>
    <xf numFmtId="164" fontId="8" fillId="11" borderId="18" xfId="1" applyNumberFormat="1" applyFont="1" applyFill="1" applyBorder="1"/>
    <xf numFmtId="165" fontId="47" fillId="8" borderId="0" xfId="21" applyNumberFormat="1" applyFont="1" applyFill="1"/>
    <xf numFmtId="14" fontId="2" fillId="22" borderId="62" xfId="0" applyNumberFormat="1" applyFont="1" applyFill="1" applyBorder="1"/>
    <xf numFmtId="164" fontId="49" fillId="13" borderId="17" xfId="1" applyNumberFormat="1" applyFont="1" applyFill="1" applyBorder="1"/>
    <xf numFmtId="164" fontId="50" fillId="13" borderId="17" xfId="1" applyNumberFormat="1" applyFont="1" applyFill="1" applyBorder="1"/>
    <xf numFmtId="0" fontId="34" fillId="6" borderId="0" xfId="0" applyFont="1" applyFill="1"/>
    <xf numFmtId="164" fontId="2" fillId="13" borderId="0" xfId="1" applyNumberFormat="1" applyFont="1" applyFill="1"/>
    <xf numFmtId="4" fontId="48" fillId="8" borderId="0" xfId="0" applyNumberFormat="1" applyFont="1" applyFill="1"/>
    <xf numFmtId="0" fontId="11" fillId="0" borderId="17" xfId="0" applyFont="1" applyBorder="1"/>
    <xf numFmtId="0" fontId="11" fillId="21" borderId="17" xfId="0" applyFont="1" applyFill="1" applyBorder="1"/>
    <xf numFmtId="0" fontId="11" fillId="24" borderId="17" xfId="0" applyFont="1" applyFill="1" applyBorder="1"/>
    <xf numFmtId="0" fontId="11" fillId="0" borderId="17" xfId="0" applyFont="1" applyFill="1" applyBorder="1"/>
    <xf numFmtId="0" fontId="11" fillId="26" borderId="17" xfId="0" applyFont="1" applyFill="1" applyBorder="1"/>
    <xf numFmtId="0" fontId="11" fillId="18" borderId="17" xfId="0" applyFont="1" applyFill="1" applyBorder="1"/>
    <xf numFmtId="164" fontId="12" fillId="8" borderId="0" xfId="1" applyNumberFormat="1" applyFont="1" applyFill="1"/>
    <xf numFmtId="164" fontId="11" fillId="0" borderId="17" xfId="1" applyNumberFormat="1" applyFont="1" applyBorder="1" applyAlignment="1">
      <alignment horizontal="center"/>
    </xf>
    <xf numFmtId="164" fontId="11" fillId="21" borderId="17" xfId="1" applyNumberFormat="1" applyFont="1" applyFill="1" applyBorder="1"/>
    <xf numFmtId="164" fontId="12" fillId="0" borderId="17" xfId="1" applyNumberFormat="1" applyFont="1" applyBorder="1"/>
    <xf numFmtId="164" fontId="11" fillId="24" borderId="17" xfId="1" applyNumberFormat="1" applyFont="1" applyFill="1" applyBorder="1"/>
    <xf numFmtId="164" fontId="11" fillId="26" borderId="17" xfId="1" applyNumberFormat="1" applyFont="1" applyFill="1" applyBorder="1"/>
    <xf numFmtId="164" fontId="11" fillId="18" borderId="17" xfId="1" applyNumberFormat="1" applyFont="1" applyFill="1" applyBorder="1"/>
    <xf numFmtId="164" fontId="12" fillId="22" borderId="17" xfId="1" applyNumberFormat="1" applyFont="1" applyFill="1" applyBorder="1"/>
    <xf numFmtId="164" fontId="12" fillId="13" borderId="17" xfId="1" applyNumberFormat="1" applyFont="1" applyFill="1" applyBorder="1"/>
    <xf numFmtId="0" fontId="11" fillId="10" borderId="25" xfId="0" applyFont="1" applyFill="1" applyBorder="1" applyAlignment="1">
      <alignment horizontal="centerContinuous"/>
    </xf>
    <xf numFmtId="164" fontId="11" fillId="10" borderId="20" xfId="1" applyNumberFormat="1" applyFont="1" applyFill="1" applyBorder="1" applyAlignment="1">
      <alignment horizontal="centerContinuous"/>
    </xf>
    <xf numFmtId="0" fontId="11" fillId="8" borderId="0" xfId="0" applyFont="1" applyFill="1"/>
    <xf numFmtId="9" fontId="12" fillId="8" borderId="0" xfId="21" applyFont="1" applyFill="1"/>
    <xf numFmtId="164" fontId="12" fillId="19" borderId="17" xfId="1" applyNumberFormat="1" applyFont="1" applyFill="1" applyBorder="1"/>
    <xf numFmtId="164" fontId="11" fillId="8" borderId="0" xfId="1" applyNumberFormat="1" applyFont="1" applyFill="1"/>
    <xf numFmtId="9" fontId="11" fillId="8" borderId="0" xfId="21" applyFont="1" applyFill="1"/>
    <xf numFmtId="164" fontId="12" fillId="12" borderId="17" xfId="1" applyNumberFormat="1" applyFont="1" applyFill="1" applyBorder="1"/>
    <xf numFmtId="164" fontId="51" fillId="8" borderId="0" xfId="0" applyNumberFormat="1" applyFont="1" applyFill="1"/>
    <xf numFmtId="164" fontId="51" fillId="8" borderId="0" xfId="1" applyNumberFormat="1" applyFont="1" applyFill="1"/>
    <xf numFmtId="164" fontId="11" fillId="12" borderId="35" xfId="1" applyNumberFormat="1" applyFont="1" applyFill="1" applyBorder="1"/>
    <xf numFmtId="164" fontId="38" fillId="8" borderId="0" xfId="1" applyNumberFormat="1" applyFont="1" applyFill="1" applyAlignment="1">
      <alignment horizontal="right"/>
    </xf>
    <xf numFmtId="164" fontId="14" fillId="12" borderId="35" xfId="1" applyNumberFormat="1" applyFont="1" applyFill="1" applyBorder="1"/>
    <xf numFmtId="0" fontId="44" fillId="8" borderId="0" xfId="0" applyFont="1" applyFill="1"/>
    <xf numFmtId="164" fontId="44" fillId="8" borderId="0" xfId="0" applyNumberFormat="1" applyFont="1" applyFill="1"/>
    <xf numFmtId="0" fontId="11" fillId="8" borderId="0" xfId="0" applyFont="1" applyFill="1" applyAlignment="1">
      <alignment horizontal="center"/>
    </xf>
    <xf numFmtId="0" fontId="11" fillId="0" borderId="45" xfId="0" applyFont="1" applyBorder="1"/>
    <xf numFmtId="0" fontId="11" fillId="0" borderId="28" xfId="0" applyFont="1" applyFill="1" applyBorder="1"/>
    <xf numFmtId="164" fontId="12" fillId="19" borderId="28" xfId="1" applyNumberFormat="1" applyFont="1" applyFill="1" applyBorder="1"/>
    <xf numFmtId="0" fontId="11" fillId="0" borderId="51" xfId="0" applyFont="1" applyFill="1" applyBorder="1"/>
    <xf numFmtId="164" fontId="12" fillId="12" borderId="52" xfId="1" applyNumberFormat="1" applyFont="1" applyFill="1" applyBorder="1"/>
    <xf numFmtId="164" fontId="12" fillId="12" borderId="53" xfId="1" applyNumberFormat="1" applyFont="1" applyFill="1" applyBorder="1"/>
    <xf numFmtId="0" fontId="11" fillId="0" borderId="22" xfId="0" applyFont="1" applyFill="1" applyBorder="1"/>
    <xf numFmtId="164" fontId="52" fillId="14" borderId="23" xfId="1" applyNumberFormat="1" applyFont="1" applyFill="1" applyBorder="1"/>
    <xf numFmtId="0" fontId="12" fillId="8" borderId="63" xfId="0" applyFont="1" applyFill="1" applyBorder="1"/>
    <xf numFmtId="0" fontId="11" fillId="0" borderId="45" xfId="0" applyFont="1" applyFill="1" applyBorder="1"/>
    <xf numFmtId="0" fontId="11" fillId="8" borderId="63" xfId="0" applyFont="1" applyFill="1" applyBorder="1" applyAlignment="1">
      <alignment horizontal="center"/>
    </xf>
    <xf numFmtId="3" fontId="46" fillId="8" borderId="0" xfId="0" applyNumberFormat="1" applyFont="1" applyFill="1"/>
    <xf numFmtId="17" fontId="10" fillId="4" borderId="3" xfId="0" applyNumberFormat="1" applyFont="1" applyFill="1" applyBorder="1" applyAlignment="1">
      <alignment horizontal="center" vertical="center" wrapText="1"/>
    </xf>
    <xf numFmtId="17" fontId="10" fillId="4" borderId="35" xfId="0" applyNumberFormat="1" applyFont="1" applyFill="1" applyBorder="1" applyAlignment="1">
      <alignment horizontal="center" vertical="center" wrapText="1"/>
    </xf>
    <xf numFmtId="4" fontId="43" fillId="0" borderId="38" xfId="0" applyNumberFormat="1" applyFont="1" applyFill="1" applyBorder="1" applyAlignment="1">
      <alignment horizontal="right" vertical="center"/>
    </xf>
    <xf numFmtId="4" fontId="9" fillId="15" borderId="37" xfId="0" applyNumberFormat="1" applyFont="1" applyFill="1" applyBorder="1" applyAlignment="1">
      <alignment horizontal="right" vertical="center"/>
    </xf>
    <xf numFmtId="4" fontId="13" fillId="6" borderId="37" xfId="0" applyNumberFormat="1" applyFont="1" applyFill="1" applyBorder="1" applyAlignment="1">
      <alignment horizontal="right" vertical="center"/>
    </xf>
    <xf numFmtId="4" fontId="43" fillId="0" borderId="38" xfId="0" applyNumberFormat="1" applyFont="1" applyBorder="1" applyAlignment="1">
      <alignment horizontal="right" vertical="center"/>
    </xf>
    <xf numFmtId="4" fontId="43" fillId="29" borderId="37" xfId="0" applyNumberFormat="1" applyFont="1" applyFill="1" applyBorder="1" applyAlignment="1">
      <alignment horizontal="right" vertical="center"/>
    </xf>
    <xf numFmtId="4" fontId="9" fillId="29" borderId="37" xfId="0" applyNumberFormat="1" applyFont="1" applyFill="1" applyBorder="1" applyAlignment="1">
      <alignment horizontal="right" vertical="center"/>
    </xf>
    <xf numFmtId="4" fontId="9" fillId="8" borderId="37" xfId="0" applyNumberFormat="1" applyFont="1" applyFill="1" applyBorder="1" applyAlignment="1">
      <alignment horizontal="right" vertical="center"/>
    </xf>
    <xf numFmtId="4" fontId="43" fillId="0" borderId="36" xfId="0" applyNumberFormat="1" applyFont="1" applyFill="1" applyBorder="1" applyAlignment="1">
      <alignment horizontal="right" vertical="center"/>
    </xf>
    <xf numFmtId="0" fontId="3" fillId="8" borderId="1" xfId="0" applyFont="1" applyFill="1" applyBorder="1" applyAlignment="1">
      <alignment horizontal="centerContinuous"/>
    </xf>
    <xf numFmtId="0" fontId="3" fillId="8" borderId="2" xfId="0" applyFont="1" applyFill="1" applyBorder="1" applyAlignment="1">
      <alignment horizontal="centerContinuous"/>
    </xf>
    <xf numFmtId="0" fontId="3" fillId="8" borderId="3" xfId="0" applyFont="1" applyFill="1" applyBorder="1" applyAlignment="1">
      <alignment horizontal="centerContinuous"/>
    </xf>
    <xf numFmtId="0" fontId="0" fillId="8" borderId="0" xfId="0" applyFill="1" applyBorder="1" applyAlignment="1">
      <alignment horizontal="right"/>
    </xf>
    <xf numFmtId="0" fontId="0" fillId="0" borderId="0" xfId="0" applyAlignment="1">
      <alignment horizontal="right"/>
    </xf>
    <xf numFmtId="164" fontId="34" fillId="11" borderId="0" xfId="0" applyNumberFormat="1" applyFont="1" applyFill="1"/>
    <xf numFmtId="164" fontId="0" fillId="6" borderId="17" xfId="1" applyNumberFormat="1" applyFont="1" applyFill="1" applyBorder="1"/>
    <xf numFmtId="0" fontId="0" fillId="13" borderId="0" xfId="0" applyFill="1"/>
    <xf numFmtId="43" fontId="22" fillId="8" borderId="0" xfId="1" applyNumberFormat="1" applyFont="1" applyFill="1"/>
    <xf numFmtId="0" fontId="0" fillId="0" borderId="0" xfId="0" applyFont="1"/>
    <xf numFmtId="0" fontId="0" fillId="0" borderId="0" xfId="0" applyAlignment="1">
      <alignment horizontal="left" vertical="center" wrapText="1"/>
    </xf>
    <xf numFmtId="4" fontId="0" fillId="0" borderId="0" xfId="0" applyNumberFormat="1" applyFont="1"/>
    <xf numFmtId="0" fontId="0" fillId="18" borderId="0" xfId="0" applyFill="1"/>
    <xf numFmtId="4" fontId="51" fillId="8" borderId="0" xfId="0" applyNumberFormat="1" applyFont="1" applyFill="1"/>
    <xf numFmtId="0" fontId="12" fillId="26" borderId="17" xfId="0" applyFont="1" applyFill="1" applyBorder="1" applyAlignment="1">
      <alignment horizontal="left" vertical="center" wrapText="1"/>
    </xf>
    <xf numFmtId="0" fontId="51" fillId="8" borderId="0" xfId="0" applyFont="1" applyFill="1"/>
    <xf numFmtId="4" fontId="28" fillId="0" borderId="0" xfId="0" applyNumberFormat="1" applyFont="1"/>
    <xf numFmtId="4" fontId="43" fillId="8" borderId="0" xfId="0" applyNumberFormat="1" applyFont="1" applyFill="1" applyBorder="1" applyAlignment="1">
      <alignment horizontal="right" vertical="center"/>
    </xf>
    <xf numFmtId="0" fontId="6" fillId="2" borderId="9" xfId="0" applyFont="1" applyFill="1" applyBorder="1" applyAlignment="1">
      <alignment horizontal="center" vertical="center" wrapText="1"/>
    </xf>
    <xf numFmtId="164" fontId="12" fillId="13" borderId="35" xfId="1" applyNumberFormat="1" applyFont="1" applyFill="1" applyBorder="1"/>
    <xf numFmtId="9" fontId="8" fillId="21" borderId="0" xfId="21" applyFont="1" applyFill="1" applyBorder="1"/>
    <xf numFmtId="0" fontId="8" fillId="8" borderId="17" xfId="0" applyFont="1" applyFill="1" applyBorder="1"/>
    <xf numFmtId="0" fontId="5" fillId="16" borderId="19" xfId="0" applyFont="1" applyFill="1" applyBorder="1" applyAlignment="1">
      <alignment horizontal="center"/>
    </xf>
    <xf numFmtId="0" fontId="5" fillId="16" borderId="26" xfId="0" quotePrefix="1" applyFont="1" applyFill="1" applyBorder="1" applyAlignment="1">
      <alignment horizontal="center"/>
    </xf>
    <xf numFmtId="0" fontId="5" fillId="7" borderId="40" xfId="0" applyFont="1" applyFill="1" applyBorder="1" applyAlignment="1">
      <alignment horizontal="center"/>
    </xf>
    <xf numFmtId="9" fontId="5" fillId="13" borderId="32" xfId="21" applyFont="1" applyFill="1" applyBorder="1"/>
    <xf numFmtId="9" fontId="8" fillId="13" borderId="19" xfId="21" applyFont="1" applyFill="1" applyBorder="1"/>
    <xf numFmtId="9" fontId="5" fillId="13" borderId="19" xfId="21" applyFont="1" applyFill="1" applyBorder="1"/>
    <xf numFmtId="164" fontId="5" fillId="13" borderId="42" xfId="1" applyNumberFormat="1" applyFont="1" applyFill="1" applyBorder="1"/>
    <xf numFmtId="164" fontId="8" fillId="13" borderId="40" xfId="1" applyNumberFormat="1" applyFont="1" applyFill="1" applyBorder="1"/>
    <xf numFmtId="164" fontId="5" fillId="13" borderId="40" xfId="1" applyNumberFormat="1" applyFont="1" applyFill="1" applyBorder="1"/>
    <xf numFmtId="164" fontId="5" fillId="14" borderId="40" xfId="1" applyNumberFormat="1" applyFont="1" applyFill="1" applyBorder="1"/>
    <xf numFmtId="164" fontId="8" fillId="11" borderId="40" xfId="1" applyNumberFormat="1" applyFont="1" applyFill="1" applyBorder="1"/>
    <xf numFmtId="10" fontId="5" fillId="25" borderId="17" xfId="21" applyNumberFormat="1" applyFont="1" applyFill="1" applyBorder="1"/>
    <xf numFmtId="9" fontId="5" fillId="13" borderId="17" xfId="21" applyFont="1" applyFill="1" applyBorder="1"/>
    <xf numFmtId="10" fontId="8" fillId="13" borderId="17" xfId="21" applyNumberFormat="1" applyFont="1" applyFill="1" applyBorder="1"/>
    <xf numFmtId="9" fontId="8" fillId="13" borderId="17" xfId="21" applyFont="1" applyFill="1" applyBorder="1"/>
    <xf numFmtId="10" fontId="8" fillId="22" borderId="17" xfId="21" applyNumberFormat="1" applyFont="1" applyFill="1" applyBorder="1"/>
    <xf numFmtId="10" fontId="5" fillId="21" borderId="17" xfId="21" applyNumberFormat="1" applyFont="1" applyFill="1" applyBorder="1"/>
    <xf numFmtId="10" fontId="5" fillId="6" borderId="17" xfId="21" applyNumberFormat="1" applyFont="1" applyFill="1" applyBorder="1"/>
    <xf numFmtId="0" fontId="5" fillId="8" borderId="25" xfId="0" applyFont="1" applyFill="1" applyBorder="1" applyAlignment="1">
      <alignment horizontal="centerContinuous"/>
    </xf>
    <xf numFmtId="0" fontId="5" fillId="8" borderId="40" xfId="0" applyFont="1" applyFill="1" applyBorder="1" applyAlignment="1">
      <alignment horizontal="centerContinuous"/>
    </xf>
    <xf numFmtId="0" fontId="5" fillId="8" borderId="11" xfId="0" applyFont="1" applyFill="1" applyBorder="1" applyAlignment="1">
      <alignment horizontal="centerContinuous"/>
    </xf>
    <xf numFmtId="0" fontId="5" fillId="8" borderId="10" xfId="0" applyFont="1" applyFill="1" applyBorder="1" applyAlignment="1">
      <alignment horizontal="centerContinuous"/>
    </xf>
    <xf numFmtId="0" fontId="5" fillId="8" borderId="36" xfId="0" applyFont="1" applyFill="1" applyBorder="1" applyAlignment="1">
      <alignment horizontal="centerContinuous"/>
    </xf>
    <xf numFmtId="0" fontId="5" fillId="8" borderId="25" xfId="0" applyFont="1" applyFill="1" applyBorder="1" applyAlignment="1">
      <alignment horizontal="center"/>
    </xf>
    <xf numFmtId="0" fontId="5" fillId="8" borderId="40" xfId="0" applyFont="1" applyFill="1" applyBorder="1" applyAlignment="1">
      <alignment horizontal="center"/>
    </xf>
    <xf numFmtId="0" fontId="5" fillId="8" borderId="17" xfId="0" applyFont="1" applyFill="1" applyBorder="1" applyAlignment="1">
      <alignment horizontal="center"/>
    </xf>
    <xf numFmtId="0" fontId="5" fillId="8" borderId="16" xfId="0" applyFont="1" applyFill="1" applyBorder="1" applyAlignment="1">
      <alignment horizontal="center"/>
    </xf>
    <xf numFmtId="0" fontId="5" fillId="8" borderId="37" xfId="0" applyFont="1" applyFill="1" applyBorder="1" applyAlignment="1">
      <alignment horizontal="center"/>
    </xf>
    <xf numFmtId="0" fontId="5" fillId="7" borderId="41" xfId="0" applyFont="1" applyFill="1" applyBorder="1" applyAlignment="1">
      <alignment horizontal="center"/>
    </xf>
    <xf numFmtId="10" fontId="5" fillId="25" borderId="6" xfId="0" applyNumberFormat="1" applyFont="1" applyFill="1" applyBorder="1"/>
    <xf numFmtId="164" fontId="8" fillId="8" borderId="76" xfId="1" applyNumberFormat="1" applyFont="1" applyFill="1" applyBorder="1"/>
    <xf numFmtId="165" fontId="8" fillId="8" borderId="68" xfId="21" applyNumberFormat="1" applyFont="1" applyFill="1" applyBorder="1"/>
    <xf numFmtId="164" fontId="8" fillId="8" borderId="68" xfId="1" applyNumberFormat="1" applyFont="1" applyFill="1" applyBorder="1"/>
    <xf numFmtId="9" fontId="8" fillId="8" borderId="68" xfId="21" applyFont="1" applyFill="1" applyBorder="1"/>
    <xf numFmtId="165" fontId="8" fillId="8" borderId="77" xfId="21" applyNumberFormat="1" applyFont="1" applyFill="1" applyBorder="1"/>
    <xf numFmtId="9" fontId="8" fillId="8" borderId="72" xfId="21" applyFont="1" applyFill="1" applyBorder="1"/>
    <xf numFmtId="9" fontId="8" fillId="8" borderId="75" xfId="21" applyFont="1" applyFill="1" applyBorder="1"/>
    <xf numFmtId="10" fontId="8" fillId="14" borderId="76" xfId="21" applyNumberFormat="1" applyFont="1" applyFill="1" applyBorder="1"/>
    <xf numFmtId="9" fontId="8" fillId="8" borderId="50" xfId="21" applyFont="1" applyFill="1" applyBorder="1"/>
    <xf numFmtId="9" fontId="8" fillId="14" borderId="50" xfId="21" applyFont="1" applyFill="1" applyBorder="1"/>
    <xf numFmtId="9" fontId="8" fillId="8" borderId="77" xfId="21" applyFont="1" applyFill="1" applyBorder="1"/>
    <xf numFmtId="0" fontId="5" fillId="8" borderId="78" xfId="0" applyFont="1" applyFill="1" applyBorder="1" applyAlignment="1">
      <alignment horizontal="centerContinuous"/>
    </xf>
    <xf numFmtId="0" fontId="5" fillId="8" borderId="70" xfId="0" applyFont="1" applyFill="1" applyBorder="1" applyAlignment="1">
      <alignment horizontal="centerContinuous"/>
    </xf>
    <xf numFmtId="0" fontId="5" fillId="8" borderId="12" xfId="0" applyFont="1" applyFill="1" applyBorder="1" applyAlignment="1">
      <alignment horizontal="centerContinuous"/>
    </xf>
    <xf numFmtId="0" fontId="5" fillId="8" borderId="19" xfId="0" applyFont="1" applyFill="1" applyBorder="1" applyAlignment="1">
      <alignment horizontal="centerContinuous"/>
    </xf>
    <xf numFmtId="0" fontId="5" fillId="8" borderId="21" xfId="0" applyFont="1" applyFill="1" applyBorder="1" applyAlignment="1">
      <alignment horizontal="center"/>
    </xf>
    <xf numFmtId="0" fontId="5" fillId="8" borderId="22" xfId="0" applyFont="1" applyFill="1" applyBorder="1" applyAlignment="1">
      <alignment horizontal="center"/>
    </xf>
    <xf numFmtId="0" fontId="5" fillId="8" borderId="23" xfId="0" applyFont="1" applyFill="1" applyBorder="1" applyAlignment="1">
      <alignment horizontal="center"/>
    </xf>
    <xf numFmtId="0" fontId="5" fillId="8" borderId="41" xfId="0" applyFont="1" applyFill="1" applyBorder="1" applyAlignment="1">
      <alignment horizontal="center"/>
    </xf>
    <xf numFmtId="0" fontId="5" fillId="8" borderId="27" xfId="0" applyFont="1" applyFill="1" applyBorder="1" applyAlignment="1">
      <alignment horizontal="center"/>
    </xf>
    <xf numFmtId="16" fontId="5" fillId="8" borderId="38" xfId="0" quotePrefix="1" applyNumberFormat="1" applyFont="1" applyFill="1" applyBorder="1" applyAlignment="1">
      <alignment horizontal="center"/>
    </xf>
    <xf numFmtId="0" fontId="5" fillId="8" borderId="38" xfId="0" quotePrefix="1" applyFont="1" applyFill="1" applyBorder="1" applyAlignment="1">
      <alignment horizontal="center"/>
    </xf>
    <xf numFmtId="0" fontId="5" fillId="8" borderId="24" xfId="0" applyFont="1" applyFill="1" applyBorder="1" applyAlignment="1">
      <alignment horizontal="center"/>
    </xf>
    <xf numFmtId="164" fontId="5" fillId="8" borderId="51" xfId="1" applyNumberFormat="1" applyFont="1" applyFill="1" applyBorder="1"/>
    <xf numFmtId="165" fontId="5" fillId="8" borderId="52" xfId="21" applyNumberFormat="1" applyFont="1" applyFill="1" applyBorder="1"/>
    <xf numFmtId="164" fontId="5" fillId="8" borderId="52" xfId="1" applyNumberFormat="1" applyFont="1" applyFill="1" applyBorder="1"/>
    <xf numFmtId="9" fontId="5" fillId="8" borderId="52" xfId="21" applyFont="1" applyFill="1" applyBorder="1"/>
    <xf numFmtId="10" fontId="5" fillId="25" borderId="52" xfId="21" applyNumberFormat="1" applyFont="1" applyFill="1" applyBorder="1"/>
    <xf numFmtId="9" fontId="5" fillId="13" borderId="52" xfId="21" applyFont="1" applyFill="1" applyBorder="1"/>
    <xf numFmtId="164" fontId="5" fillId="8" borderId="52" xfId="0" applyNumberFormat="1" applyFont="1" applyFill="1" applyBorder="1"/>
    <xf numFmtId="9" fontId="5" fillId="8" borderId="53" xfId="21" applyFont="1" applyFill="1" applyBorder="1"/>
    <xf numFmtId="10" fontId="8" fillId="13" borderId="23" xfId="21" applyNumberFormat="1" applyFont="1" applyFill="1" applyBorder="1"/>
    <xf numFmtId="9" fontId="8" fillId="13" borderId="23" xfId="21" applyFont="1" applyFill="1" applyBorder="1"/>
    <xf numFmtId="0" fontId="5" fillId="15" borderId="1" xfId="0" applyFont="1" applyFill="1" applyBorder="1" applyAlignment="1">
      <alignment horizontal="center"/>
    </xf>
    <xf numFmtId="0" fontId="8" fillId="0" borderId="75" xfId="0" applyFont="1" applyBorder="1"/>
    <xf numFmtId="0" fontId="5" fillId="8" borderId="35" xfId="0" applyFont="1" applyFill="1" applyBorder="1" applyAlignment="1">
      <alignment horizontal="center"/>
    </xf>
    <xf numFmtId="0" fontId="8" fillId="0" borderId="39" xfId="0" applyFont="1" applyBorder="1" applyAlignment="1">
      <alignment wrapText="1"/>
    </xf>
    <xf numFmtId="0" fontId="8" fillId="0" borderId="37" xfId="0" applyFont="1" applyBorder="1" applyAlignment="1">
      <alignment wrapText="1"/>
    </xf>
    <xf numFmtId="0" fontId="25" fillId="0" borderId="37" xfId="0" applyFont="1" applyBorder="1" applyAlignment="1">
      <alignment wrapText="1"/>
    </xf>
    <xf numFmtId="0" fontId="8" fillId="0" borderId="38" xfId="0" applyFont="1" applyBorder="1" applyAlignment="1">
      <alignment wrapText="1"/>
    </xf>
    <xf numFmtId="4" fontId="0" fillId="18" borderId="0" xfId="0" applyNumberFormat="1" applyFill="1"/>
    <xf numFmtId="4" fontId="28" fillId="18" borderId="0" xfId="0" applyNumberFormat="1" applyFont="1" applyFill="1"/>
    <xf numFmtId="43" fontId="0" fillId="18" borderId="0" xfId="1" applyFont="1" applyFill="1"/>
    <xf numFmtId="43" fontId="0" fillId="18" borderId="0" xfId="1" applyNumberFormat="1" applyFont="1" applyFill="1"/>
    <xf numFmtId="0" fontId="2" fillId="0" borderId="19" xfId="0" applyFont="1" applyBorder="1" applyAlignment="1">
      <alignment vertical="center" wrapText="1"/>
    </xf>
    <xf numFmtId="0" fontId="12" fillId="14" borderId="0" xfId="0" applyFont="1" applyFill="1"/>
    <xf numFmtId="0" fontId="0" fillId="8" borderId="0" xfId="0" applyFill="1" applyBorder="1"/>
    <xf numFmtId="0" fontId="2" fillId="8" borderId="0" xfId="0" applyFont="1" applyFill="1" applyBorder="1"/>
    <xf numFmtId="0" fontId="2" fillId="8" borderId="62" xfId="0" applyFont="1" applyFill="1" applyBorder="1"/>
    <xf numFmtId="4" fontId="19" fillId="8" borderId="0" xfId="0" applyNumberFormat="1" applyFont="1" applyFill="1"/>
    <xf numFmtId="164" fontId="55" fillId="8" borderId="0" xfId="0" applyNumberFormat="1" applyFont="1" applyFill="1"/>
    <xf numFmtId="43" fontId="0" fillId="26" borderId="0" xfId="1" applyFont="1" applyFill="1"/>
    <xf numFmtId="0" fontId="12" fillId="13" borderId="25" xfId="0" applyFont="1" applyFill="1" applyBorder="1"/>
    <xf numFmtId="0" fontId="0" fillId="8" borderId="0" xfId="0" applyFont="1" applyFill="1"/>
    <xf numFmtId="0" fontId="4" fillId="0" borderId="17" xfId="0" applyFont="1" applyBorder="1"/>
    <xf numFmtId="0" fontId="4" fillId="0" borderId="17" xfId="0" applyFont="1" applyBorder="1" applyAlignment="1">
      <alignment horizontal="center"/>
    </xf>
    <xf numFmtId="0" fontId="33" fillId="0" borderId="17" xfId="0" applyFont="1" applyBorder="1" applyAlignment="1">
      <alignment horizontal="center"/>
    </xf>
    <xf numFmtId="0" fontId="4" fillId="22" borderId="25" xfId="0" applyFont="1" applyFill="1" applyBorder="1" applyAlignment="1">
      <alignment horizontal="centerContinuous"/>
    </xf>
    <xf numFmtId="0" fontId="0" fillId="22" borderId="0" xfId="0" applyFill="1" applyAlignment="1">
      <alignment horizontal="centerContinuous"/>
    </xf>
    <xf numFmtId="0" fontId="4" fillId="21" borderId="17" xfId="0" applyFont="1" applyFill="1" applyBorder="1"/>
    <xf numFmtId="172" fontId="4" fillId="14" borderId="17" xfId="0" applyNumberFormat="1" applyFont="1" applyFill="1" applyBorder="1"/>
    <xf numFmtId="172" fontId="4" fillId="14" borderId="43" xfId="0" applyNumberFormat="1" applyFont="1" applyFill="1" applyBorder="1"/>
    <xf numFmtId="173" fontId="4" fillId="14" borderId="43" xfId="0" applyNumberFormat="1" applyFont="1" applyFill="1" applyBorder="1"/>
    <xf numFmtId="172" fontId="4" fillId="21" borderId="43" xfId="0" applyNumberFormat="1" applyFont="1" applyFill="1" applyBorder="1"/>
    <xf numFmtId="172" fontId="0" fillId="0" borderId="17" xfId="0" applyNumberFormat="1" applyBorder="1"/>
    <xf numFmtId="172" fontId="0" fillId="0" borderId="17" xfId="0" applyNumberFormat="1" applyFont="1" applyBorder="1"/>
    <xf numFmtId="172" fontId="56" fillId="8" borderId="17" xfId="0" applyNumberFormat="1" applyFont="1" applyFill="1" applyBorder="1"/>
    <xf numFmtId="172" fontId="0" fillId="14" borderId="17" xfId="0" applyNumberFormat="1" applyFill="1" applyBorder="1"/>
    <xf numFmtId="172" fontId="0" fillId="6" borderId="17" xfId="0" applyNumberFormat="1" applyFill="1" applyBorder="1"/>
    <xf numFmtId="172" fontId="0" fillId="0" borderId="17" xfId="0" applyNumberFormat="1" applyFont="1" applyFill="1" applyBorder="1"/>
    <xf numFmtId="0" fontId="4" fillId="24" borderId="17" xfId="0" applyFont="1" applyFill="1" applyBorder="1"/>
    <xf numFmtId="172" fontId="4" fillId="24" borderId="17" xfId="0" applyNumberFormat="1" applyFont="1" applyFill="1" applyBorder="1"/>
    <xf numFmtId="172" fontId="0" fillId="22" borderId="0" xfId="0" applyNumberFormat="1" applyFill="1" applyAlignment="1">
      <alignment horizontal="centerContinuous"/>
    </xf>
    <xf numFmtId="172" fontId="54" fillId="0" borderId="17" xfId="0" applyNumberFormat="1" applyFont="1" applyBorder="1"/>
    <xf numFmtId="172" fontId="0" fillId="0" borderId="17" xfId="0" applyNumberFormat="1" applyFill="1" applyBorder="1"/>
    <xf numFmtId="172" fontId="0" fillId="7" borderId="17" xfId="0" applyNumberFormat="1" applyFill="1" applyBorder="1"/>
    <xf numFmtId="172" fontId="0" fillId="8" borderId="17" xfId="0" applyNumberFormat="1" applyFill="1" applyBorder="1"/>
    <xf numFmtId="0" fontId="57" fillId="0" borderId="17" xfId="0" applyFont="1" applyFill="1" applyBorder="1"/>
    <xf numFmtId="0" fontId="4" fillId="0" borderId="17" xfId="0" applyFont="1" applyFill="1" applyBorder="1"/>
    <xf numFmtId="172" fontId="56" fillId="14" borderId="17" xfId="0" applyNumberFormat="1" applyFont="1" applyFill="1" applyBorder="1"/>
    <xf numFmtId="172" fontId="57" fillId="14" borderId="17" xfId="0" applyNumberFormat="1" applyFont="1" applyFill="1" applyBorder="1"/>
    <xf numFmtId="172" fontId="54" fillId="8" borderId="17" xfId="0" applyNumberFormat="1" applyFont="1" applyFill="1" applyBorder="1"/>
    <xf numFmtId="0" fontId="4" fillId="7" borderId="17" xfId="0" applyFont="1" applyFill="1" applyBorder="1"/>
    <xf numFmtId="172" fontId="57" fillId="6" borderId="17" xfId="0" applyNumberFormat="1" applyFont="1" applyFill="1" applyBorder="1"/>
    <xf numFmtId="0" fontId="4" fillId="26" borderId="17" xfId="0" applyFont="1" applyFill="1" applyBorder="1"/>
    <xf numFmtId="172" fontId="4" fillId="26" borderId="17" xfId="0" applyNumberFormat="1" applyFont="1" applyFill="1" applyBorder="1"/>
    <xf numFmtId="0" fontId="4" fillId="18" borderId="17" xfId="0" applyFont="1" applyFill="1" applyBorder="1"/>
    <xf numFmtId="172" fontId="4" fillId="18" borderId="17" xfId="0" applyNumberFormat="1" applyFont="1" applyFill="1" applyBorder="1"/>
    <xf numFmtId="172" fontId="4" fillId="22" borderId="25" xfId="0" applyNumberFormat="1" applyFont="1" applyFill="1" applyBorder="1" applyAlignment="1">
      <alignment horizontal="centerContinuous"/>
    </xf>
    <xf numFmtId="3" fontId="0" fillId="0" borderId="17" xfId="0" applyNumberFormat="1" applyBorder="1"/>
    <xf numFmtId="172" fontId="4" fillId="0" borderId="17" xfId="0" applyNumberFormat="1" applyFont="1" applyBorder="1"/>
    <xf numFmtId="3" fontId="4" fillId="0" borderId="17" xfId="0" applyNumberFormat="1" applyFont="1" applyBorder="1"/>
    <xf numFmtId="0" fontId="4" fillId="6" borderId="17" xfId="0" applyFont="1" applyFill="1" applyBorder="1"/>
    <xf numFmtId="3" fontId="0" fillId="6" borderId="17" xfId="0" applyNumberFormat="1" applyFill="1" applyBorder="1"/>
    <xf numFmtId="3" fontId="0" fillId="0" borderId="17" xfId="0" applyNumberFormat="1" applyFont="1" applyBorder="1"/>
    <xf numFmtId="3" fontId="54" fillId="0" borderId="17" xfId="0" applyNumberFormat="1" applyFont="1" applyFill="1" applyBorder="1"/>
    <xf numFmtId="3" fontId="54" fillId="8" borderId="17" xfId="0" applyNumberFormat="1" applyFont="1" applyFill="1" applyBorder="1"/>
    <xf numFmtId="173" fontId="57" fillId="18" borderId="17" xfId="0" applyNumberFormat="1" applyFont="1" applyFill="1" applyBorder="1"/>
    <xf numFmtId="172" fontId="12" fillId="8" borderId="0" xfId="0" applyNumberFormat="1" applyFont="1" applyFill="1"/>
    <xf numFmtId="165" fontId="12" fillId="8" borderId="0" xfId="21" applyNumberFormat="1" applyFont="1" applyFill="1"/>
    <xf numFmtId="164" fontId="12" fillId="8" borderId="0" xfId="1" applyNumberFormat="1" applyFont="1" applyFill="1" applyAlignment="1">
      <alignment horizontal="right"/>
    </xf>
    <xf numFmtId="164" fontId="52" fillId="12" borderId="17" xfId="1" applyNumberFormat="1" applyFont="1" applyFill="1" applyBorder="1"/>
    <xf numFmtId="164" fontId="13" fillId="12" borderId="17" xfId="1" applyNumberFormat="1" applyFont="1" applyFill="1" applyBorder="1"/>
    <xf numFmtId="49" fontId="12" fillId="8" borderId="0" xfId="1" applyNumberFormat="1" applyFont="1" applyFill="1"/>
    <xf numFmtId="164" fontId="12" fillId="8" borderId="0" xfId="1" quotePrefix="1" applyNumberFormat="1" applyFont="1" applyFill="1"/>
    <xf numFmtId="165" fontId="11" fillId="8" borderId="0" xfId="21" applyNumberFormat="1" applyFont="1" applyFill="1"/>
    <xf numFmtId="17" fontId="12" fillId="8" borderId="0" xfId="0" applyNumberFormat="1" applyFont="1" applyFill="1"/>
    <xf numFmtId="43" fontId="51" fillId="8" borderId="0" xfId="0" applyNumberFormat="1" applyFont="1" applyFill="1"/>
    <xf numFmtId="164" fontId="12" fillId="6" borderId="17" xfId="1" applyNumberFormat="1" applyFont="1" applyFill="1" applyBorder="1"/>
    <xf numFmtId="0" fontId="38" fillId="0" borderId="17" xfId="0" applyFont="1" applyFill="1" applyBorder="1"/>
    <xf numFmtId="164" fontId="49" fillId="12" borderId="17" xfId="1" applyNumberFormat="1" applyFont="1" applyFill="1" applyBorder="1"/>
    <xf numFmtId="164" fontId="49" fillId="14" borderId="17" xfId="1" applyNumberFormat="1" applyFont="1" applyFill="1" applyBorder="1"/>
    <xf numFmtId="4" fontId="13" fillId="12" borderId="21" xfId="0" applyNumberFormat="1" applyFont="1" applyFill="1" applyBorder="1" applyAlignment="1">
      <alignment horizontal="right" vertical="center"/>
    </xf>
    <xf numFmtId="4" fontId="14" fillId="12" borderId="21" xfId="0" applyNumberFormat="1" applyFont="1" applyFill="1" applyBorder="1" applyAlignment="1">
      <alignment horizontal="right" vertical="center"/>
    </xf>
    <xf numFmtId="0" fontId="11" fillId="6" borderId="17" xfId="0" applyFont="1" applyFill="1" applyBorder="1"/>
    <xf numFmtId="0" fontId="12" fillId="13" borderId="0" xfId="0" applyFont="1" applyFill="1" applyBorder="1"/>
    <xf numFmtId="164" fontId="58" fillId="8" borderId="0" xfId="0" applyNumberFormat="1" applyFont="1" applyFill="1"/>
    <xf numFmtId="169" fontId="46" fillId="8" borderId="0" xfId="0" applyNumberFormat="1" applyFont="1" applyFill="1"/>
    <xf numFmtId="4" fontId="59" fillId="0" borderId="0" xfId="0" applyNumberFormat="1" applyFont="1"/>
    <xf numFmtId="4" fontId="0" fillId="26" borderId="62" xfId="0" applyNumberFormat="1" applyFill="1" applyBorder="1"/>
    <xf numFmtId="170" fontId="48" fillId="8" borderId="0" xfId="0" applyNumberFormat="1" applyFont="1" applyFill="1" applyBorder="1"/>
    <xf numFmtId="170" fontId="28" fillId="8" borderId="0" xfId="0" applyNumberFormat="1" applyFont="1" applyFill="1" applyBorder="1"/>
    <xf numFmtId="0" fontId="12" fillId="8" borderId="0" xfId="0" applyFont="1" applyFill="1" applyAlignment="1">
      <alignment horizontal="center"/>
    </xf>
    <xf numFmtId="0" fontId="20" fillId="8" borderId="17" xfId="0" applyFont="1" applyFill="1" applyBorder="1" applyAlignment="1">
      <alignment horizontal="center"/>
    </xf>
    <xf numFmtId="4" fontId="14" fillId="13" borderId="21" xfId="0" applyNumberFormat="1" applyFont="1" applyFill="1" applyBorder="1" applyAlignment="1">
      <alignment horizontal="right" vertical="center"/>
    </xf>
    <xf numFmtId="169" fontId="0" fillId="8" borderId="0" xfId="0" applyNumberFormat="1" applyFill="1"/>
    <xf numFmtId="0" fontId="53" fillId="0" borderId="0" xfId="0" applyFont="1"/>
    <xf numFmtId="0" fontId="53" fillId="13" borderId="0" xfId="0" applyFont="1" applyFill="1"/>
    <xf numFmtId="4" fontId="38" fillId="0" borderId="21" xfId="0" applyNumberFormat="1" applyFont="1" applyFill="1" applyBorder="1" applyAlignment="1">
      <alignment horizontal="right" vertical="center"/>
    </xf>
    <xf numFmtId="4" fontId="38" fillId="0" borderId="67" xfId="0" applyNumberFormat="1" applyFont="1" applyFill="1" applyBorder="1" applyAlignment="1">
      <alignment horizontal="right" vertical="center"/>
    </xf>
    <xf numFmtId="4" fontId="34" fillId="8" borderId="0" xfId="0" applyNumberFormat="1" applyFont="1" applyFill="1" applyBorder="1"/>
    <xf numFmtId="0" fontId="53" fillId="8" borderId="0" xfId="0" applyFont="1" applyFill="1"/>
    <xf numFmtId="4" fontId="38" fillId="0" borderId="0" xfId="0" applyNumberFormat="1" applyFont="1" applyFill="1" applyBorder="1" applyAlignment="1">
      <alignment horizontal="right" vertical="center"/>
    </xf>
    <xf numFmtId="3" fontId="38" fillId="7" borderId="0" xfId="0" applyNumberFormat="1" applyFont="1" applyFill="1" applyBorder="1" applyAlignment="1">
      <alignment vertical="center"/>
    </xf>
    <xf numFmtId="169" fontId="38" fillId="7" borderId="0" xfId="0" applyNumberFormat="1" applyFont="1" applyFill="1" applyBorder="1" applyAlignment="1">
      <alignment vertical="center"/>
    </xf>
    <xf numFmtId="4" fontId="53" fillId="8" borderId="0" xfId="0" applyNumberFormat="1" applyFont="1" applyFill="1"/>
    <xf numFmtId="4" fontId="13" fillId="32" borderId="21" xfId="0" applyNumberFormat="1" applyFont="1" applyFill="1" applyBorder="1" applyAlignment="1">
      <alignment horizontal="right" vertical="center"/>
    </xf>
    <xf numFmtId="164" fontId="0" fillId="12" borderId="17" xfId="1" applyNumberFormat="1" applyFont="1" applyFill="1" applyBorder="1"/>
    <xf numFmtId="164" fontId="0" fillId="10" borderId="17" xfId="1" applyNumberFormat="1" applyFont="1" applyFill="1" applyBorder="1"/>
    <xf numFmtId="164" fontId="2" fillId="12" borderId="17" xfId="1" applyNumberFormat="1" applyFont="1" applyFill="1" applyBorder="1"/>
    <xf numFmtId="43" fontId="48" fillId="8" borderId="0" xfId="0" applyNumberFormat="1" applyFont="1" applyFill="1"/>
    <xf numFmtId="0" fontId="11" fillId="10" borderId="20" xfId="0" applyFont="1" applyFill="1" applyBorder="1" applyAlignment="1">
      <alignment horizontal="centerContinuous"/>
    </xf>
    <xf numFmtId="164" fontId="11" fillId="8" borderId="40" xfId="1" applyNumberFormat="1" applyFont="1" applyFill="1" applyBorder="1" applyAlignment="1">
      <alignment horizontal="center"/>
    </xf>
    <xf numFmtId="164" fontId="11" fillId="8" borderId="17" xfId="1" applyNumberFormat="1" applyFont="1" applyFill="1" applyBorder="1" applyAlignment="1">
      <alignment horizontal="center"/>
    </xf>
    <xf numFmtId="172" fontId="11" fillId="21" borderId="17" xfId="0" applyNumberFormat="1" applyFont="1" applyFill="1" applyBorder="1"/>
    <xf numFmtId="164" fontId="12" fillId="14" borderId="17" xfId="1" applyNumberFormat="1" applyFont="1" applyFill="1" applyBorder="1"/>
    <xf numFmtId="0" fontId="0" fillId="8" borderId="0" xfId="0" applyFill="1" applyAlignment="1">
      <alignment horizontal="center"/>
    </xf>
    <xf numFmtId="0" fontId="2" fillId="8" borderId="0" xfId="0" applyFont="1" applyFill="1" applyAlignment="1">
      <alignment horizontal="center"/>
    </xf>
    <xf numFmtId="4" fontId="2" fillId="8" borderId="0" xfId="0" applyNumberFormat="1" applyFont="1" applyFill="1"/>
    <xf numFmtId="4" fontId="28" fillId="8" borderId="0" xfId="0" applyNumberFormat="1" applyFont="1" applyFill="1"/>
    <xf numFmtId="0" fontId="0" fillId="33" borderId="0" xfId="0" applyFill="1"/>
    <xf numFmtId="0" fontId="2" fillId="33" borderId="0" xfId="0" applyFont="1" applyFill="1" applyAlignment="1">
      <alignment horizontal="center"/>
    </xf>
    <xf numFmtId="0" fontId="0" fillId="33" borderId="0" xfId="0" applyFill="1" applyAlignment="1">
      <alignment horizontal="center"/>
    </xf>
    <xf numFmtId="4" fontId="0" fillId="33" borderId="0" xfId="0" applyNumberFormat="1" applyFill="1"/>
    <xf numFmtId="4" fontId="28" fillId="33" borderId="0" xfId="0" applyNumberFormat="1" applyFont="1" applyFill="1"/>
    <xf numFmtId="4" fontId="2" fillId="33" borderId="0" xfId="0" applyNumberFormat="1" applyFont="1" applyFill="1"/>
    <xf numFmtId="4" fontId="0" fillId="7" borderId="0" xfId="0" applyNumberFormat="1" applyFill="1"/>
    <xf numFmtId="164" fontId="12" fillId="11" borderId="17" xfId="1" applyNumberFormat="1" applyFont="1" applyFill="1" applyBorder="1"/>
    <xf numFmtId="164" fontId="12" fillId="11" borderId="45" xfId="1" applyNumberFormat="1" applyFont="1" applyFill="1" applyBorder="1"/>
    <xf numFmtId="165" fontId="12" fillId="8" borderId="29" xfId="21" applyNumberFormat="1" applyFont="1" applyFill="1" applyBorder="1"/>
    <xf numFmtId="165" fontId="12" fillId="8" borderId="74" xfId="21" applyNumberFormat="1" applyFont="1" applyFill="1" applyBorder="1"/>
    <xf numFmtId="165" fontId="12" fillId="8" borderId="42" xfId="21" applyNumberFormat="1" applyFont="1" applyFill="1" applyBorder="1"/>
    <xf numFmtId="164" fontId="12" fillId="13" borderId="43" xfId="1" applyNumberFormat="1" applyFont="1" applyFill="1" applyBorder="1"/>
    <xf numFmtId="164" fontId="12" fillId="13" borderId="14" xfId="1" applyNumberFormat="1" applyFont="1" applyFill="1" applyBorder="1"/>
    <xf numFmtId="164" fontId="12" fillId="13" borderId="48" xfId="1" applyNumberFormat="1" applyFont="1" applyFill="1" applyBorder="1"/>
    <xf numFmtId="164" fontId="12" fillId="13" borderId="75" xfId="1" applyNumberFormat="1" applyFont="1" applyFill="1" applyBorder="1"/>
    <xf numFmtId="164" fontId="12" fillId="13" borderId="0" xfId="1" applyNumberFormat="1" applyFont="1" applyFill="1" applyBorder="1"/>
    <xf numFmtId="164" fontId="12" fillId="13" borderId="72" xfId="1" applyNumberFormat="1" applyFont="1" applyFill="1" applyBorder="1"/>
    <xf numFmtId="0" fontId="0" fillId="0" borderId="61" xfId="0" applyBorder="1"/>
    <xf numFmtId="0" fontId="0" fillId="0" borderId="61" xfId="0" applyFill="1" applyBorder="1"/>
    <xf numFmtId="0" fontId="2" fillId="22" borderId="61" xfId="0" applyFont="1" applyFill="1" applyBorder="1"/>
    <xf numFmtId="0" fontId="0" fillId="22" borderId="7" xfId="0" applyFill="1" applyBorder="1"/>
    <xf numFmtId="14" fontId="0" fillId="22" borderId="63" xfId="0" applyNumberFormat="1" applyFill="1" applyBorder="1"/>
    <xf numFmtId="0" fontId="0" fillId="3" borderId="16" xfId="0" applyFill="1" applyBorder="1"/>
    <xf numFmtId="174" fontId="53" fillId="3" borderId="18" xfId="21" applyNumberFormat="1" applyFont="1" applyFill="1" applyBorder="1" applyAlignment="1">
      <alignment horizontal="left"/>
    </xf>
    <xf numFmtId="1" fontId="53" fillId="3" borderId="18" xfId="21" applyNumberFormat="1" applyFont="1" applyFill="1" applyBorder="1" applyAlignment="1">
      <alignment horizontal="left"/>
    </xf>
    <xf numFmtId="174" fontId="53" fillId="3" borderId="18" xfId="21" applyNumberFormat="1" applyFont="1" applyFill="1" applyBorder="1"/>
    <xf numFmtId="174" fontId="53" fillId="3" borderId="24" xfId="21" applyNumberFormat="1" applyFont="1" applyFill="1" applyBorder="1"/>
    <xf numFmtId="4" fontId="53" fillId="26" borderId="25" xfId="0" applyNumberFormat="1" applyFont="1" applyFill="1" applyBorder="1" applyAlignment="1">
      <alignment horizontal="left"/>
    </xf>
    <xf numFmtId="164" fontId="0" fillId="13" borderId="17" xfId="1" applyNumberFormat="1" applyFont="1" applyFill="1" applyBorder="1"/>
    <xf numFmtId="0" fontId="2" fillId="26" borderId="61" xfId="0" applyFont="1" applyFill="1" applyBorder="1"/>
    <xf numFmtId="8" fontId="2" fillId="26" borderId="62" xfId="0" applyNumberFormat="1" applyFont="1" applyFill="1" applyBorder="1"/>
    <xf numFmtId="1" fontId="50" fillId="13" borderId="25" xfId="0" applyNumberFormat="1" applyFont="1" applyFill="1" applyBorder="1" applyAlignment="1">
      <alignment horizontal="center"/>
    </xf>
    <xf numFmtId="4" fontId="14" fillId="10" borderId="63" xfId="0" applyNumberFormat="1" applyFont="1" applyFill="1" applyBorder="1" applyAlignment="1">
      <alignment horizontal="right" vertical="center"/>
    </xf>
    <xf numFmtId="4" fontId="14" fillId="0" borderId="12" xfId="0" applyNumberFormat="1" applyFont="1" applyBorder="1" applyAlignment="1">
      <alignment horizontal="right" vertical="center"/>
    </xf>
    <xf numFmtId="4" fontId="14" fillId="0" borderId="21" xfId="0" applyNumberFormat="1" applyFont="1" applyBorder="1" applyAlignment="1">
      <alignment horizontal="right" vertical="center"/>
    </xf>
    <xf numFmtId="4" fontId="14" fillId="4" borderId="63" xfId="0" applyNumberFormat="1" applyFont="1" applyFill="1" applyBorder="1" applyAlignment="1">
      <alignment horizontal="right" vertical="center"/>
    </xf>
    <xf numFmtId="4" fontId="13" fillId="0" borderId="36" xfId="0" applyNumberFormat="1" applyFont="1" applyBorder="1" applyAlignment="1">
      <alignment vertical="center"/>
    </xf>
    <xf numFmtId="4" fontId="13" fillId="15" borderId="21" xfId="0" applyNumberFormat="1" applyFont="1" applyFill="1" applyBorder="1" applyAlignment="1">
      <alignment horizontal="right" vertical="center"/>
    </xf>
    <xf numFmtId="4" fontId="14" fillId="0" borderId="21" xfId="0" applyNumberFormat="1" applyFont="1" applyFill="1" applyBorder="1" applyAlignment="1">
      <alignment horizontal="right" vertical="center"/>
    </xf>
    <xf numFmtId="4" fontId="14" fillId="0" borderId="67" xfId="0" applyNumberFormat="1" applyFont="1" applyFill="1" applyBorder="1" applyAlignment="1">
      <alignment horizontal="right" vertical="center"/>
    </xf>
    <xf numFmtId="4" fontId="13" fillId="14" borderId="21" xfId="0" applyNumberFormat="1" applyFont="1" applyFill="1" applyBorder="1" applyAlignment="1">
      <alignment horizontal="right" vertical="center"/>
    </xf>
    <xf numFmtId="0" fontId="33" fillId="4" borderId="3" xfId="0" applyFont="1" applyFill="1" applyBorder="1" applyAlignment="1">
      <alignment horizontal="center" vertical="center" wrapText="1"/>
    </xf>
    <xf numFmtId="4" fontId="14" fillId="29" borderId="21" xfId="0" applyNumberFormat="1" applyFont="1" applyFill="1" applyBorder="1" applyAlignment="1">
      <alignment horizontal="right" vertical="center"/>
    </xf>
    <xf numFmtId="4" fontId="14" fillId="10" borderId="9" xfId="0" applyNumberFormat="1" applyFont="1" applyFill="1" applyBorder="1" applyAlignment="1">
      <alignment vertical="center"/>
    </xf>
    <xf numFmtId="4" fontId="13" fillId="29" borderId="21" xfId="0" applyNumberFormat="1" applyFont="1" applyFill="1" applyBorder="1" applyAlignment="1">
      <alignment horizontal="right" vertical="center"/>
    </xf>
    <xf numFmtId="4" fontId="14" fillId="0" borderId="12" xfId="0" applyNumberFormat="1" applyFont="1" applyFill="1" applyBorder="1" applyAlignment="1">
      <alignment horizontal="right" vertical="center"/>
    </xf>
    <xf numFmtId="0" fontId="52" fillId="8" borderId="0" xfId="0" applyFont="1" applyFill="1"/>
    <xf numFmtId="171" fontId="46" fillId="8" borderId="0" xfId="0" applyNumberFormat="1" applyFont="1" applyFill="1"/>
    <xf numFmtId="164" fontId="49" fillId="10" borderId="17" xfId="1" applyNumberFormat="1" applyFont="1" applyFill="1" applyBorder="1"/>
    <xf numFmtId="164" fontId="50" fillId="10" borderId="17" xfId="1" applyNumberFormat="1" applyFont="1" applyFill="1" applyBorder="1"/>
    <xf numFmtId="164" fontId="2" fillId="10" borderId="17" xfId="1" applyNumberFormat="1" applyFont="1" applyFill="1" applyBorder="1"/>
    <xf numFmtId="0" fontId="2" fillId="10" borderId="0" xfId="0" applyFont="1" applyFill="1"/>
    <xf numFmtId="4" fontId="14" fillId="14" borderId="21" xfId="0" applyNumberFormat="1" applyFont="1" applyFill="1" applyBorder="1" applyAlignment="1">
      <alignment horizontal="right" vertical="center"/>
    </xf>
    <xf numFmtId="164" fontId="12" fillId="31" borderId="17" xfId="1" applyNumberFormat="1" applyFont="1" applyFill="1" applyBorder="1"/>
    <xf numFmtId="3" fontId="0" fillId="0" borderId="0" xfId="0" applyNumberFormat="1"/>
    <xf numFmtId="164" fontId="12" fillId="13" borderId="17" xfId="1" applyNumberFormat="1" applyFont="1" applyFill="1" applyBorder="1"/>
    <xf numFmtId="0" fontId="33" fillId="4" borderId="3" xfId="0" applyFont="1" applyFill="1" applyBorder="1" applyAlignment="1">
      <alignment horizontal="center" vertical="center"/>
    </xf>
    <xf numFmtId="4" fontId="9" fillId="18" borderId="37" xfId="0" applyNumberFormat="1" applyFont="1" applyFill="1" applyBorder="1" applyAlignment="1">
      <alignment horizontal="right" vertical="center"/>
    </xf>
    <xf numFmtId="4" fontId="43" fillId="8" borderId="37" xfId="0" applyNumberFormat="1" applyFont="1" applyFill="1" applyBorder="1" applyAlignment="1">
      <alignment horizontal="right" vertical="center"/>
    </xf>
    <xf numFmtId="4" fontId="43" fillId="18" borderId="37" xfId="0" applyNumberFormat="1" applyFont="1" applyFill="1" applyBorder="1" applyAlignment="1">
      <alignment horizontal="right" vertical="center"/>
    </xf>
    <xf numFmtId="4" fontId="43" fillId="18" borderId="38" xfId="0" applyNumberFormat="1" applyFont="1" applyFill="1" applyBorder="1" applyAlignment="1">
      <alignment horizontal="right" vertical="center"/>
    </xf>
    <xf numFmtId="4" fontId="46" fillId="8" borderId="0" xfId="0" applyNumberFormat="1" applyFont="1" applyFill="1"/>
    <xf numFmtId="170" fontId="43" fillId="10" borderId="9" xfId="0" applyNumberFormat="1" applyFont="1" applyFill="1" applyBorder="1" applyAlignment="1">
      <alignment vertical="center"/>
    </xf>
    <xf numFmtId="4" fontId="14" fillId="14" borderId="67" xfId="0" applyNumberFormat="1" applyFont="1" applyFill="1" applyBorder="1" applyAlignment="1">
      <alignment horizontal="right" vertical="center"/>
    </xf>
    <xf numFmtId="4" fontId="48" fillId="8" borderId="0" xfId="0" applyNumberFormat="1" applyFont="1" applyFill="1" applyBorder="1"/>
    <xf numFmtId="4" fontId="9" fillId="26" borderId="21" xfId="0" applyNumberFormat="1" applyFont="1" applyFill="1" applyBorder="1" applyAlignment="1">
      <alignment horizontal="right" vertical="center"/>
    </xf>
    <xf numFmtId="4" fontId="43" fillId="34" borderId="21" xfId="0" applyNumberFormat="1" applyFont="1" applyFill="1" applyBorder="1" applyAlignment="1">
      <alignment horizontal="right" vertical="center"/>
    </xf>
    <xf numFmtId="164" fontId="12" fillId="26" borderId="29" xfId="1" applyNumberFormat="1" applyFont="1" applyFill="1" applyBorder="1"/>
    <xf numFmtId="164" fontId="12" fillId="26" borderId="74" xfId="1" applyNumberFormat="1" applyFont="1" applyFill="1" applyBorder="1"/>
    <xf numFmtId="164" fontId="12" fillId="26" borderId="42" xfId="1" applyNumberFormat="1" applyFont="1" applyFill="1" applyBorder="1"/>
    <xf numFmtId="164" fontId="12" fillId="13" borderId="45" xfId="1" applyNumberFormat="1" applyFont="1" applyFill="1" applyBorder="1" applyAlignment="1">
      <alignment horizontal="right"/>
    </xf>
    <xf numFmtId="164" fontId="12" fillId="13" borderId="68" xfId="1" applyNumberFormat="1" applyFont="1" applyFill="1" applyBorder="1" applyAlignment="1">
      <alignment horizontal="right"/>
    </xf>
    <xf numFmtId="164" fontId="12" fillId="13" borderId="28" xfId="1" applyNumberFormat="1" applyFont="1" applyFill="1" applyBorder="1"/>
    <xf numFmtId="164" fontId="13" fillId="13" borderId="17" xfId="1" applyNumberFormat="1" applyFont="1" applyFill="1" applyBorder="1"/>
    <xf numFmtId="14" fontId="12" fillId="8" borderId="0" xfId="1" applyNumberFormat="1" applyFont="1" applyFill="1"/>
    <xf numFmtId="43" fontId="0" fillId="8" borderId="0" xfId="1" applyNumberFormat="1" applyFont="1" applyFill="1"/>
    <xf numFmtId="4" fontId="61" fillId="0" borderId="0" xfId="0" applyNumberFormat="1" applyFont="1"/>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2" fillId="0" borderId="10" xfId="0" applyFont="1" applyBorder="1" applyAlignment="1">
      <alignment horizontal="left" vertical="center" wrapText="1"/>
    </xf>
    <xf numFmtId="0" fontId="7" fillId="3" borderId="16"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0" fillId="0" borderId="11" xfId="0" applyBorder="1"/>
    <xf numFmtId="0" fontId="0" fillId="0" borderId="12" xfId="0" applyBorder="1"/>
    <xf numFmtId="0" fontId="2" fillId="0" borderId="20" xfId="0" applyFont="1" applyBorder="1" applyAlignment="1">
      <alignment horizontal="center"/>
    </xf>
    <xf numFmtId="0" fontId="2" fillId="0" borderId="21" xfId="0" applyFont="1" applyBorder="1" applyAlignment="1">
      <alignment horizontal="center"/>
    </xf>
    <xf numFmtId="17" fontId="2" fillId="0" borderId="20" xfId="0" applyNumberFormat="1" applyFont="1" applyBorder="1" applyAlignment="1">
      <alignment horizontal="center"/>
    </xf>
    <xf numFmtId="0" fontId="12" fillId="3" borderId="26" xfId="0" applyFont="1" applyFill="1" applyBorder="1" applyAlignment="1">
      <alignment horizontal="right" vertical="center"/>
    </xf>
    <xf numFmtId="0" fontId="12" fillId="3" borderId="69" xfId="0" applyFont="1" applyFill="1" applyBorder="1" applyAlignment="1">
      <alignment horizontal="right" vertical="center"/>
    </xf>
    <xf numFmtId="0" fontId="12" fillId="3" borderId="67" xfId="0" applyFont="1" applyFill="1" applyBorder="1" applyAlignment="1">
      <alignment horizontal="right" vertic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11" fillId="4" borderId="1" xfId="0" applyFont="1" applyFill="1" applyBorder="1" applyAlignment="1">
      <alignment horizontal="center" vertical="center"/>
    </xf>
    <xf numFmtId="0" fontId="11" fillId="4" borderId="3" xfId="0" applyFont="1" applyFill="1" applyBorder="1" applyAlignment="1">
      <alignment horizontal="center" vertical="center"/>
    </xf>
    <xf numFmtId="0" fontId="2" fillId="0" borderId="0" xfId="0" applyFont="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4" fontId="0" fillId="0" borderId="17" xfId="0" applyNumberFormat="1" applyBorder="1" applyAlignment="1">
      <alignment horizontal="center" vertical="center"/>
    </xf>
    <xf numFmtId="0" fontId="2" fillId="3" borderId="10" xfId="0" applyFont="1" applyFill="1" applyBorder="1" applyAlignment="1">
      <alignment horizontal="center"/>
    </xf>
    <xf numFmtId="0" fontId="2" fillId="3" borderId="12" xfId="0" applyFont="1" applyFill="1" applyBorder="1" applyAlignment="1">
      <alignment horizontal="center"/>
    </xf>
    <xf numFmtId="0" fontId="0" fillId="3" borderId="16" xfId="0" applyFill="1" applyBorder="1" applyAlignment="1">
      <alignment horizontal="center" vertical="center"/>
    </xf>
    <xf numFmtId="0" fontId="0" fillId="3" borderId="22" xfId="0" applyFill="1" applyBorder="1" applyAlignment="1">
      <alignment horizontal="center" vertical="center"/>
    </xf>
    <xf numFmtId="0" fontId="39" fillId="10" borderId="65" xfId="0" applyFont="1" applyFill="1" applyBorder="1" applyAlignment="1">
      <alignment horizontal="center" vertical="center" wrapText="1"/>
    </xf>
    <xf numFmtId="0" fontId="39" fillId="10" borderId="66" xfId="0" applyFont="1" applyFill="1" applyBorder="1" applyAlignment="1">
      <alignment horizontal="center" vertical="center" wrapText="1"/>
    </xf>
    <xf numFmtId="0" fontId="62" fillId="2" borderId="6" xfId="0" applyFont="1" applyFill="1" applyBorder="1" applyAlignment="1">
      <alignment horizontal="center" wrapText="1"/>
    </xf>
    <xf numFmtId="0" fontId="62" fillId="4" borderId="6" xfId="0" applyFont="1" applyFill="1" applyBorder="1" applyAlignment="1">
      <alignment horizontal="left" vertical="center"/>
    </xf>
    <xf numFmtId="0" fontId="62" fillId="4" borderId="36" xfId="0" applyFont="1" applyFill="1" applyBorder="1" applyAlignment="1">
      <alignment horizontal="center" vertical="center"/>
    </xf>
    <xf numFmtId="0" fontId="62" fillId="4" borderId="50" xfId="0" applyFont="1" applyFill="1" applyBorder="1" applyAlignment="1">
      <alignment horizontal="left" vertical="center"/>
    </xf>
    <xf numFmtId="0" fontId="62" fillId="4" borderId="37" xfId="0" applyFont="1" applyFill="1" applyBorder="1" applyAlignment="1">
      <alignment horizontal="center" vertical="center" wrapText="1"/>
    </xf>
    <xf numFmtId="0" fontId="62" fillId="4" borderId="47" xfId="0" applyFont="1" applyFill="1" applyBorder="1" applyAlignment="1">
      <alignment horizontal="center" vertical="center" wrapText="1"/>
    </xf>
    <xf numFmtId="0" fontId="62" fillId="4" borderId="37" xfId="0" applyFont="1" applyFill="1" applyBorder="1" applyAlignment="1">
      <alignment horizontal="center" vertical="center"/>
    </xf>
    <xf numFmtId="0" fontId="62" fillId="4" borderId="9" xfId="0" applyFont="1" applyFill="1" applyBorder="1" applyAlignment="1">
      <alignment horizontal="left" vertical="center"/>
    </xf>
    <xf numFmtId="0" fontId="62" fillId="4" borderId="38" xfId="0" applyFont="1" applyFill="1" applyBorder="1" applyAlignment="1">
      <alignment horizontal="center" vertical="center" wrapText="1"/>
    </xf>
    <xf numFmtId="0" fontId="62" fillId="4" borderId="9" xfId="0" applyFont="1" applyFill="1" applyBorder="1" applyAlignment="1">
      <alignment horizontal="center" vertical="center" wrapText="1"/>
    </xf>
    <xf numFmtId="0" fontId="62" fillId="4" borderId="38" xfId="0" applyFont="1" applyFill="1" applyBorder="1" applyAlignment="1">
      <alignment horizontal="center" vertical="center" wrapText="1"/>
    </xf>
    <xf numFmtId="0" fontId="64" fillId="0" borderId="39" xfId="0" applyFont="1" applyBorder="1" applyAlignment="1">
      <alignment vertical="center"/>
    </xf>
    <xf numFmtId="4" fontId="62" fillId="0" borderId="39" xfId="0" applyNumberFormat="1" applyFont="1" applyBorder="1" applyAlignment="1">
      <alignment vertical="center"/>
    </xf>
    <xf numFmtId="0" fontId="65" fillId="3" borderId="37" xfId="0" applyFont="1" applyFill="1" applyBorder="1" applyAlignment="1">
      <alignment horizontal="left" vertical="center" indent="1"/>
    </xf>
    <xf numFmtId="4" fontId="65" fillId="0" borderId="37" xfId="0" applyNumberFormat="1" applyFont="1" applyBorder="1" applyAlignment="1">
      <alignment vertical="center"/>
    </xf>
    <xf numFmtId="0" fontId="65" fillId="0" borderId="37" xfId="0" applyFont="1" applyBorder="1" applyAlignment="1">
      <alignment vertical="center"/>
    </xf>
    <xf numFmtId="0" fontId="64" fillId="8" borderId="37" xfId="0" applyFont="1" applyFill="1" applyBorder="1" applyAlignment="1">
      <alignment vertical="center"/>
    </xf>
    <xf numFmtId="4" fontId="62" fillId="0" borderId="37" xfId="0" applyNumberFormat="1" applyFont="1" applyBorder="1" applyAlignment="1">
      <alignment vertical="center"/>
    </xf>
    <xf numFmtId="4" fontId="62" fillId="8" borderId="37" xfId="0" applyNumberFormat="1" applyFont="1" applyFill="1" applyBorder="1" applyAlignment="1">
      <alignment vertical="center"/>
    </xf>
    <xf numFmtId="0" fontId="62" fillId="8" borderId="50" xfId="0" applyFont="1" applyFill="1" applyBorder="1" applyAlignment="1">
      <alignment vertical="center"/>
    </xf>
    <xf numFmtId="0" fontId="65" fillId="14" borderId="37" xfId="0" applyFont="1" applyFill="1" applyBorder="1" applyAlignment="1">
      <alignment horizontal="left" vertical="center" indent="1"/>
    </xf>
    <xf numFmtId="4" fontId="65" fillId="14" borderId="37" xfId="0" applyNumberFormat="1" applyFont="1" applyFill="1" applyBorder="1" applyAlignment="1">
      <alignment vertical="center"/>
    </xf>
    <xf numFmtId="0" fontId="65" fillId="8" borderId="37" xfId="0" applyFont="1" applyFill="1" applyBorder="1" applyAlignment="1">
      <alignment horizontal="left" vertical="center" wrapText="1" indent="1"/>
    </xf>
    <xf numFmtId="4" fontId="65" fillId="8" borderId="37" xfId="0" applyNumberFormat="1" applyFont="1" applyFill="1" applyBorder="1" applyAlignment="1">
      <alignment vertical="center"/>
    </xf>
    <xf numFmtId="4" fontId="18" fillId="8" borderId="37" xfId="0" applyNumberFormat="1" applyFont="1" applyFill="1" applyBorder="1" applyAlignment="1">
      <alignment vertical="center"/>
    </xf>
    <xf numFmtId="0" fontId="65" fillId="3" borderId="37" xfId="0" applyFont="1" applyFill="1" applyBorder="1" applyAlignment="1">
      <alignment horizontal="left" vertical="center" wrapText="1" indent="1"/>
    </xf>
    <xf numFmtId="0" fontId="62" fillId="0" borderId="50" xfId="0" applyFont="1" applyFill="1" applyBorder="1" applyAlignment="1">
      <alignment vertical="center" wrapText="1"/>
    </xf>
    <xf numFmtId="4" fontId="62" fillId="14" borderId="37" xfId="0" applyNumberFormat="1" applyFont="1" applyFill="1" applyBorder="1" applyAlignment="1">
      <alignment vertical="center"/>
    </xf>
    <xf numFmtId="4" fontId="62" fillId="0" borderId="50" xfId="0" applyNumberFormat="1" applyFont="1" applyBorder="1" applyAlignment="1">
      <alignment vertical="center"/>
    </xf>
    <xf numFmtId="4" fontId="62" fillId="14" borderId="50" xfId="0" applyNumberFormat="1" applyFont="1" applyFill="1" applyBorder="1" applyAlignment="1">
      <alignment vertical="center"/>
    </xf>
    <xf numFmtId="0" fontId="64" fillId="0" borderId="37" xfId="0" applyFont="1" applyBorder="1" applyAlignment="1">
      <alignment vertical="center"/>
    </xf>
    <xf numFmtId="0" fontId="64" fillId="0" borderId="50" xfId="0" applyFont="1" applyBorder="1" applyAlignment="1">
      <alignment vertical="center"/>
    </xf>
    <xf numFmtId="4" fontId="62" fillId="8" borderId="47" xfId="0" applyNumberFormat="1" applyFont="1" applyFill="1" applyBorder="1" applyAlignment="1">
      <alignment vertical="center"/>
    </xf>
    <xf numFmtId="4" fontId="62" fillId="14" borderId="47" xfId="0" applyNumberFormat="1" applyFont="1" applyFill="1" applyBorder="1" applyAlignment="1">
      <alignment vertical="center"/>
    </xf>
    <xf numFmtId="0" fontId="64" fillId="0" borderId="50" xfId="0" applyFont="1" applyFill="1" applyBorder="1" applyAlignment="1">
      <alignment vertical="center" wrapText="1"/>
    </xf>
    <xf numFmtId="0" fontId="65" fillId="3" borderId="47" xfId="0" applyFont="1" applyFill="1" applyBorder="1" applyAlignment="1">
      <alignment horizontal="left" vertical="center" wrapText="1" indent="1"/>
    </xf>
    <xf numFmtId="4" fontId="65" fillId="0" borderId="47" xfId="0" applyNumberFormat="1" applyFont="1" applyBorder="1" applyAlignment="1">
      <alignment vertical="center"/>
    </xf>
    <xf numFmtId="4" fontId="65" fillId="14" borderId="47" xfId="0" applyNumberFormat="1" applyFont="1" applyFill="1" applyBorder="1" applyAlignment="1">
      <alignment vertical="center"/>
    </xf>
    <xf numFmtId="0" fontId="62" fillId="3" borderId="38" xfId="0" applyFont="1" applyFill="1" applyBorder="1" applyAlignment="1">
      <alignment horizontal="left" vertical="center" wrapText="1" indent="1"/>
    </xf>
    <xf numFmtId="4" fontId="62" fillId="0" borderId="38" xfId="0" applyNumberFormat="1" applyFont="1" applyBorder="1" applyAlignment="1">
      <alignment vertical="center"/>
    </xf>
    <xf numFmtId="4" fontId="62" fillId="8" borderId="38" xfId="0" applyNumberFormat="1" applyFont="1" applyFill="1" applyBorder="1" applyAlignment="1">
      <alignment vertical="center"/>
    </xf>
    <xf numFmtId="0" fontId="62" fillId="0" borderId="1" xfId="0" applyFont="1" applyBorder="1" applyAlignment="1">
      <alignment horizontal="center" vertical="center"/>
    </xf>
    <xf numFmtId="0" fontId="62" fillId="0" borderId="2" xfId="0" applyFont="1" applyBorder="1" applyAlignment="1">
      <alignment horizontal="center" vertical="center"/>
    </xf>
    <xf numFmtId="0" fontId="62" fillId="0" borderId="3" xfId="0" applyFont="1" applyBorder="1" applyAlignment="1">
      <alignment horizontal="center" vertical="center"/>
    </xf>
    <xf numFmtId="0" fontId="62" fillId="2" borderId="6" xfId="0" applyFont="1" applyFill="1" applyBorder="1" applyAlignment="1">
      <alignment horizontal="center" wrapText="1"/>
    </xf>
    <xf numFmtId="0" fontId="62" fillId="2" borderId="9" xfId="0" applyFont="1" applyFill="1" applyBorder="1" applyAlignment="1">
      <alignment horizontal="center" vertical="center" wrapText="1"/>
    </xf>
    <xf numFmtId="0" fontId="62" fillId="2" borderId="9" xfId="0" applyFont="1" applyFill="1" applyBorder="1" applyAlignment="1">
      <alignment horizontal="center" vertical="center" wrapText="1"/>
    </xf>
    <xf numFmtId="0" fontId="62" fillId="0" borderId="10" xfId="0" applyFont="1" applyBorder="1" applyAlignment="1">
      <alignment horizontal="left" vertical="center" wrapText="1" indent="1"/>
    </xf>
    <xf numFmtId="0" fontId="62" fillId="0" borderId="11" xfId="0" applyFont="1" applyBorder="1" applyAlignment="1">
      <alignment horizontal="left" vertical="center" wrapText="1" indent="1"/>
    </xf>
    <xf numFmtId="0" fontId="62" fillId="0" borderId="12" xfId="0" applyFont="1" applyBorder="1" applyAlignment="1">
      <alignment horizontal="left" vertical="center" wrapText="1" indent="1"/>
    </xf>
    <xf numFmtId="0" fontId="62" fillId="0" borderId="26" xfId="0" applyFont="1" applyBorder="1" applyAlignment="1">
      <alignment horizontal="left" vertical="center" wrapText="1" indent="1"/>
    </xf>
    <xf numFmtId="0" fontId="62" fillId="0" borderId="69" xfId="0" applyFont="1" applyBorder="1" applyAlignment="1">
      <alignment horizontal="left" vertical="center" wrapText="1" indent="1"/>
    </xf>
    <xf numFmtId="0" fontId="62" fillId="0" borderId="67" xfId="0" applyFont="1" applyBorder="1" applyAlignment="1">
      <alignment horizontal="left" vertical="center" wrapText="1" indent="1"/>
    </xf>
    <xf numFmtId="0" fontId="62" fillId="3" borderId="4" xfId="0" applyFont="1" applyFill="1" applyBorder="1" applyAlignment="1">
      <alignment horizontal="center"/>
    </xf>
    <xf numFmtId="0" fontId="62" fillId="3" borderId="60" xfId="0" applyFont="1" applyFill="1" applyBorder="1" applyAlignment="1">
      <alignment horizontal="center"/>
    </xf>
    <xf numFmtId="0" fontId="62" fillId="3" borderId="5" xfId="0" applyFont="1" applyFill="1" applyBorder="1" applyAlignment="1">
      <alignment horizontal="center"/>
    </xf>
    <xf numFmtId="0" fontId="62" fillId="3" borderId="7" xfId="0" applyFont="1" applyFill="1" applyBorder="1" applyAlignment="1">
      <alignment horizontal="center" vertical="center"/>
    </xf>
    <xf numFmtId="0" fontId="62" fillId="3" borderId="8" xfId="0" applyFont="1" applyFill="1" applyBorder="1" applyAlignment="1">
      <alignment horizontal="center" vertical="center"/>
    </xf>
    <xf numFmtId="0" fontId="62" fillId="3" borderId="63" xfId="0" applyFont="1" applyFill="1" applyBorder="1" applyAlignment="1">
      <alignment horizontal="center" vertical="center"/>
    </xf>
    <xf numFmtId="0" fontId="62" fillId="0" borderId="2" xfId="0" applyFont="1" applyFill="1" applyBorder="1" applyAlignment="1">
      <alignment horizontal="center" vertical="center"/>
    </xf>
    <xf numFmtId="0" fontId="65" fillId="0" borderId="0" xfId="0" applyFont="1"/>
    <xf numFmtId="0" fontId="66" fillId="0" borderId="16" xfId="0" applyFont="1" applyFill="1" applyBorder="1" applyAlignment="1">
      <alignment horizontal="center" vertical="center"/>
    </xf>
    <xf numFmtId="0" fontId="62" fillId="5" borderId="16" xfId="0" applyFont="1" applyFill="1" applyBorder="1" applyAlignment="1">
      <alignment horizontal="center" vertical="center"/>
    </xf>
    <xf numFmtId="0" fontId="62" fillId="5" borderId="17" xfId="0" applyFont="1" applyFill="1" applyBorder="1" applyAlignment="1">
      <alignment horizontal="center" vertical="center"/>
    </xf>
    <xf numFmtId="0" fontId="62" fillId="5" borderId="18" xfId="0" applyFont="1" applyFill="1" applyBorder="1" applyAlignment="1">
      <alignment horizontal="center" vertical="center"/>
    </xf>
    <xf numFmtId="0" fontId="62" fillId="0" borderId="16" xfId="0" applyFont="1" applyFill="1" applyBorder="1" applyAlignment="1">
      <alignment vertical="center" wrapText="1"/>
    </xf>
    <xf numFmtId="4" fontId="67" fillId="0" borderId="17" xfId="0" applyNumberFormat="1" applyFont="1" applyFill="1" applyBorder="1" applyAlignment="1">
      <alignment horizontal="right" vertical="center"/>
    </xf>
    <xf numFmtId="4" fontId="67" fillId="0" borderId="18" xfId="0" applyNumberFormat="1" applyFont="1" applyFill="1" applyBorder="1" applyAlignment="1">
      <alignment horizontal="right" vertical="center"/>
    </xf>
    <xf numFmtId="0" fontId="65" fillId="6" borderId="16" xfId="0" applyFont="1" applyFill="1" applyBorder="1" applyAlignment="1">
      <alignment horizontal="left" vertical="center" wrapText="1" indent="1"/>
    </xf>
    <xf numFmtId="4" fontId="18" fillId="6" borderId="17" xfId="0" applyNumberFormat="1" applyFont="1" applyFill="1" applyBorder="1" applyAlignment="1">
      <alignment horizontal="right" vertical="center"/>
    </xf>
    <xf numFmtId="4" fontId="18" fillId="6" borderId="18" xfId="0" applyNumberFormat="1" applyFont="1" applyFill="1" applyBorder="1" applyAlignment="1">
      <alignment horizontal="right" vertical="center"/>
    </xf>
    <xf numFmtId="0" fontId="18" fillId="6" borderId="16" xfId="0" applyFont="1" applyFill="1" applyBorder="1" applyAlignment="1">
      <alignment horizontal="left" vertical="center" wrapText="1" indent="1"/>
    </xf>
    <xf numFmtId="0" fontId="67" fillId="0" borderId="16" xfId="0" applyFont="1" applyFill="1" applyBorder="1" applyAlignment="1">
      <alignment vertical="center" wrapText="1"/>
    </xf>
    <xf numFmtId="0" fontId="18" fillId="6" borderId="16" xfId="0" applyFont="1" applyFill="1" applyBorder="1" applyAlignment="1">
      <alignment horizontal="left" vertical="center" wrapText="1"/>
    </xf>
    <xf numFmtId="0" fontId="67" fillId="8" borderId="16" xfId="0" applyFont="1" applyFill="1" applyBorder="1" applyAlignment="1">
      <alignment vertical="center" wrapText="1"/>
    </xf>
    <xf numFmtId="4" fontId="67" fillId="8" borderId="17" xfId="0" applyNumberFormat="1" applyFont="1" applyFill="1" applyBorder="1" applyAlignment="1">
      <alignment horizontal="right" vertical="center"/>
    </xf>
    <xf numFmtId="4" fontId="67" fillId="8" borderId="18" xfId="0" applyNumberFormat="1" applyFont="1" applyFill="1" applyBorder="1" applyAlignment="1">
      <alignment horizontal="right" vertical="center"/>
    </xf>
    <xf numFmtId="0" fontId="67" fillId="0" borderId="16" xfId="0" applyFont="1" applyBorder="1" applyAlignment="1">
      <alignment vertical="center" wrapText="1"/>
    </xf>
    <xf numFmtId="4" fontId="18" fillId="8" borderId="17" xfId="0" applyNumberFormat="1" applyFont="1" applyFill="1" applyBorder="1" applyAlignment="1">
      <alignment horizontal="right" vertical="center"/>
    </xf>
    <xf numFmtId="4" fontId="67" fillId="9" borderId="17" xfId="0" applyNumberFormat="1" applyFont="1" applyFill="1" applyBorder="1" applyAlignment="1">
      <alignment horizontal="right" vertical="center"/>
    </xf>
    <xf numFmtId="4" fontId="67" fillId="9" borderId="18" xfId="0" applyNumberFormat="1" applyFont="1" applyFill="1" applyBorder="1" applyAlignment="1">
      <alignment horizontal="right" vertical="center"/>
    </xf>
    <xf numFmtId="0" fontId="62" fillId="2" borderId="4" xfId="0" applyFont="1" applyFill="1" applyBorder="1" applyAlignment="1">
      <alignment horizontal="center" vertical="center" wrapText="1"/>
    </xf>
    <xf numFmtId="0" fontId="62" fillId="2" borderId="5" xfId="0" applyFont="1" applyFill="1" applyBorder="1" applyAlignment="1">
      <alignment horizontal="center" vertical="center" wrapText="1"/>
    </xf>
    <xf numFmtId="0" fontId="62" fillId="2" borderId="6" xfId="0" applyFont="1" applyFill="1" applyBorder="1" applyAlignment="1">
      <alignment horizontal="center" vertical="center" wrapText="1"/>
    </xf>
    <xf numFmtId="0" fontId="62" fillId="2" borderId="7" xfId="0" applyFont="1" applyFill="1" applyBorder="1" applyAlignment="1">
      <alignment horizontal="center" vertical="center" wrapText="1"/>
    </xf>
    <xf numFmtId="0" fontId="62" fillId="2" borderId="8" xfId="0" applyFont="1" applyFill="1" applyBorder="1" applyAlignment="1">
      <alignment horizontal="center" vertical="center" wrapText="1"/>
    </xf>
    <xf numFmtId="0" fontId="62" fillId="0" borderId="10" xfId="0" applyFont="1" applyBorder="1" applyAlignment="1">
      <alignment horizontal="left" vertical="center" wrapText="1"/>
    </xf>
    <xf numFmtId="0" fontId="62" fillId="0" borderId="11" xfId="0" applyFont="1" applyBorder="1" applyAlignment="1">
      <alignment horizontal="left" vertical="center" wrapText="1"/>
    </xf>
    <xf numFmtId="0" fontId="62" fillId="0" borderId="12" xfId="0" applyFont="1" applyBorder="1" applyAlignment="1">
      <alignment horizontal="left" vertical="center" wrapText="1"/>
    </xf>
    <xf numFmtId="0" fontId="62" fillId="0" borderId="13" xfId="0" applyFont="1" applyBorder="1" applyAlignment="1">
      <alignment horizontal="left" vertical="center" wrapText="1"/>
    </xf>
    <xf numFmtId="0" fontId="62" fillId="0" borderId="14" xfId="0" applyFont="1" applyBorder="1" applyAlignment="1">
      <alignment horizontal="left" vertical="center" wrapText="1"/>
    </xf>
    <xf numFmtId="0" fontId="62" fillId="0" borderId="15" xfId="0" applyFont="1" applyBorder="1" applyAlignment="1">
      <alignment horizontal="left" vertical="center" wrapText="1"/>
    </xf>
    <xf numFmtId="0" fontId="62" fillId="3" borderId="16" xfId="0" applyFont="1" applyFill="1" applyBorder="1" applyAlignment="1">
      <alignment horizontal="center" vertical="center" wrapText="1"/>
    </xf>
    <xf numFmtId="0" fontId="62" fillId="3" borderId="17" xfId="0" applyFont="1" applyFill="1" applyBorder="1" applyAlignment="1">
      <alignment horizontal="center" vertical="center" wrapText="1"/>
    </xf>
    <xf numFmtId="0" fontId="62" fillId="3" borderId="18" xfId="0" applyFont="1" applyFill="1" applyBorder="1" applyAlignment="1">
      <alignment horizontal="center" vertical="center" wrapText="1"/>
    </xf>
    <xf numFmtId="0" fontId="65" fillId="3" borderId="44" xfId="0" applyFont="1" applyFill="1" applyBorder="1" applyAlignment="1">
      <alignment horizontal="center" vertical="center"/>
    </xf>
    <xf numFmtId="0" fontId="65" fillId="3" borderId="45" xfId="0" applyFont="1" applyFill="1" applyBorder="1" applyAlignment="1">
      <alignment horizontal="center" vertical="center"/>
    </xf>
    <xf numFmtId="0" fontId="65" fillId="3" borderId="46" xfId="0" applyFont="1" applyFill="1" applyBorder="1" applyAlignment="1">
      <alignment horizontal="center" vertical="center"/>
    </xf>
    <xf numFmtId="0" fontId="68" fillId="4" borderId="17" xfId="0" applyNumberFormat="1" applyFont="1" applyFill="1" applyBorder="1" applyAlignment="1">
      <alignment horizontal="center" vertical="center"/>
    </xf>
    <xf numFmtId="0" fontId="68" fillId="4" borderId="18" xfId="0" applyFont="1" applyFill="1" applyBorder="1" applyAlignment="1">
      <alignment horizontal="center" vertical="center" wrapText="1"/>
    </xf>
    <xf numFmtId="0" fontId="67" fillId="9" borderId="16" xfId="0" applyFont="1" applyFill="1" applyBorder="1" applyAlignment="1">
      <alignment vertical="center" wrapText="1"/>
    </xf>
    <xf numFmtId="4" fontId="67" fillId="10" borderId="17" xfId="0" applyNumberFormat="1" applyFont="1" applyFill="1" applyBorder="1" applyAlignment="1">
      <alignment horizontal="right" vertical="center"/>
    </xf>
    <xf numFmtId="4" fontId="67" fillId="10" borderId="18" xfId="0" applyNumberFormat="1" applyFont="1" applyFill="1" applyBorder="1" applyAlignment="1">
      <alignment horizontal="right" vertical="center"/>
    </xf>
    <xf numFmtId="0" fontId="67" fillId="9" borderId="22" xfId="0" applyFont="1" applyFill="1" applyBorder="1" applyAlignment="1">
      <alignment vertical="center" wrapText="1"/>
    </xf>
    <xf numFmtId="4" fontId="67" fillId="9" borderId="23" xfId="0" applyNumberFormat="1" applyFont="1" applyFill="1" applyBorder="1" applyAlignment="1">
      <alignment horizontal="right" vertical="center"/>
    </xf>
    <xf numFmtId="4" fontId="67" fillId="9" borderId="24" xfId="0" applyNumberFormat="1" applyFont="1" applyFill="1" applyBorder="1" applyAlignment="1">
      <alignment horizontal="right" vertical="center"/>
    </xf>
    <xf numFmtId="0" fontId="65" fillId="8" borderId="0" xfId="0" applyFont="1" applyFill="1" applyAlignment="1">
      <alignment vertical="center"/>
    </xf>
    <xf numFmtId="0" fontId="65" fillId="3" borderId="13" xfId="0" applyFont="1" applyFill="1" applyBorder="1" applyAlignment="1">
      <alignment horizontal="right" vertical="center"/>
    </xf>
    <xf numFmtId="0" fontId="65" fillId="3" borderId="14" xfId="0" applyFont="1" applyFill="1" applyBorder="1" applyAlignment="1">
      <alignment horizontal="right" vertical="center"/>
    </xf>
    <xf numFmtId="0" fontId="65" fillId="3" borderId="15" xfId="0" applyFont="1" applyFill="1" applyBorder="1" applyAlignment="1">
      <alignment horizontal="right" vertical="center"/>
    </xf>
    <xf numFmtId="0" fontId="68" fillId="10" borderId="19" xfId="0" applyFont="1" applyFill="1" applyBorder="1" applyAlignment="1">
      <alignment vertical="center"/>
    </xf>
    <xf numFmtId="4" fontId="68" fillId="10" borderId="37" xfId="0" applyNumberFormat="1" applyFont="1" applyFill="1" applyBorder="1" applyAlignment="1">
      <alignment horizontal="right" vertical="center"/>
    </xf>
    <xf numFmtId="4" fontId="68" fillId="10" borderId="21" xfId="0" applyNumberFormat="1" applyFont="1" applyFill="1" applyBorder="1" applyAlignment="1">
      <alignment horizontal="right" vertical="center"/>
    </xf>
    <xf numFmtId="0" fontId="68" fillId="0" borderId="19" xfId="0" applyFont="1" applyBorder="1" applyAlignment="1">
      <alignment vertical="center"/>
    </xf>
    <xf numFmtId="4" fontId="68" fillId="0" borderId="37" xfId="0" applyNumberFormat="1" applyFont="1" applyBorder="1" applyAlignment="1">
      <alignment horizontal="right" vertical="center"/>
    </xf>
    <xf numFmtId="4" fontId="68" fillId="0" borderId="21" xfId="0" applyNumberFormat="1" applyFont="1" applyBorder="1" applyAlignment="1">
      <alignment horizontal="right" vertical="center"/>
    </xf>
    <xf numFmtId="0" fontId="66" fillId="0" borderId="61" xfId="0" applyFont="1" applyBorder="1" applyAlignment="1">
      <alignment horizontal="left" vertical="center" indent="2"/>
    </xf>
    <xf numFmtId="4" fontId="66" fillId="6" borderId="50" xfId="0" applyNumberFormat="1" applyFont="1" applyFill="1" applyBorder="1" applyAlignment="1">
      <alignment horizontal="right" vertical="center"/>
    </xf>
    <xf numFmtId="4" fontId="66" fillId="6" borderId="62" xfId="0" applyNumberFormat="1" applyFont="1" applyFill="1" applyBorder="1" applyAlignment="1">
      <alignment horizontal="right" vertical="center"/>
    </xf>
    <xf numFmtId="0" fontId="66" fillId="0" borderId="19" xfId="0" applyFont="1" applyBorder="1" applyAlignment="1">
      <alignment horizontal="left" vertical="center" indent="2"/>
    </xf>
    <xf numFmtId="4" fontId="18" fillId="6" borderId="37" xfId="0" applyNumberFormat="1" applyFont="1" applyFill="1" applyBorder="1" applyAlignment="1">
      <alignment horizontal="right" vertical="center"/>
    </xf>
    <xf numFmtId="4" fontId="18" fillId="6" borderId="21" xfId="0" applyNumberFormat="1" applyFont="1" applyFill="1" applyBorder="1" applyAlignment="1">
      <alignment horizontal="right" vertical="center"/>
    </xf>
    <xf numFmtId="4" fontId="18" fillId="6" borderId="50" xfId="0" applyNumberFormat="1" applyFont="1" applyFill="1" applyBorder="1" applyAlignment="1">
      <alignment horizontal="right" vertical="center"/>
    </xf>
    <xf numFmtId="4" fontId="18" fillId="6" borderId="62" xfId="0" applyNumberFormat="1" applyFont="1" applyFill="1" applyBorder="1" applyAlignment="1">
      <alignment horizontal="right" vertical="center"/>
    </xf>
    <xf numFmtId="4" fontId="66" fillId="6" borderId="21" xfId="0" applyNumberFormat="1" applyFont="1" applyFill="1" applyBorder="1" applyAlignment="1">
      <alignment horizontal="right" vertical="center"/>
    </xf>
    <xf numFmtId="0" fontId="68" fillId="0" borderId="32" xfId="0" applyFont="1" applyBorder="1" applyAlignment="1">
      <alignment vertical="center"/>
    </xf>
    <xf numFmtId="4" fontId="68" fillId="0" borderId="39" xfId="0" applyNumberFormat="1" applyFont="1" applyBorder="1" applyAlignment="1">
      <alignment horizontal="right" vertical="center"/>
    </xf>
    <xf numFmtId="4" fontId="68" fillId="0" borderId="73" xfId="0" applyNumberFormat="1" applyFont="1" applyBorder="1" applyAlignment="1">
      <alignment horizontal="right" vertical="center"/>
    </xf>
    <xf numFmtId="4" fontId="66" fillId="6" borderId="37" xfId="0" applyNumberFormat="1" applyFont="1" applyFill="1" applyBorder="1" applyAlignment="1">
      <alignment horizontal="right" vertical="center"/>
    </xf>
    <xf numFmtId="0" fontId="66" fillId="0" borderId="13" xfId="0" applyFont="1" applyBorder="1" applyAlignment="1">
      <alignment horizontal="left" vertical="center" indent="2"/>
    </xf>
    <xf numFmtId="4" fontId="66" fillId="6" borderId="47" xfId="0" applyNumberFormat="1" applyFont="1" applyFill="1" applyBorder="1" applyAlignment="1">
      <alignment horizontal="right" vertical="center"/>
    </xf>
    <xf numFmtId="4" fontId="66" fillId="6" borderId="15" xfId="0" applyNumberFormat="1" applyFont="1" applyFill="1" applyBorder="1" applyAlignment="1">
      <alignment horizontal="right" vertical="center"/>
    </xf>
    <xf numFmtId="4" fontId="65" fillId="0" borderId="39" xfId="0" applyNumberFormat="1" applyFont="1" applyBorder="1" applyAlignment="1">
      <alignment vertical="center"/>
    </xf>
    <xf numFmtId="0" fontId="68" fillId="0" borderId="61" xfId="0" applyFont="1" applyBorder="1" applyAlignment="1">
      <alignment vertical="center"/>
    </xf>
    <xf numFmtId="4" fontId="68" fillId="0" borderId="37" xfId="0" applyNumberFormat="1" applyFont="1" applyFill="1" applyBorder="1" applyAlignment="1">
      <alignment horizontal="right" vertical="center"/>
    </xf>
    <xf numFmtId="4" fontId="68" fillId="0" borderId="21" xfId="0" applyNumberFormat="1" applyFont="1" applyFill="1" applyBorder="1" applyAlignment="1">
      <alignment horizontal="right" vertical="center"/>
    </xf>
    <xf numFmtId="0" fontId="68" fillId="4" borderId="26" xfId="0" applyFont="1" applyFill="1" applyBorder="1" applyAlignment="1">
      <alignment horizontal="center" vertical="center"/>
    </xf>
    <xf numFmtId="4" fontId="68" fillId="4" borderId="38" xfId="0" applyNumberFormat="1" applyFont="1" applyFill="1" applyBorder="1" applyAlignment="1">
      <alignment horizontal="right" vertical="center"/>
    </xf>
    <xf numFmtId="4" fontId="68" fillId="4" borderId="67" xfId="0" applyNumberFormat="1" applyFont="1" applyFill="1" applyBorder="1" applyAlignment="1">
      <alignment horizontal="right" vertical="center"/>
    </xf>
    <xf numFmtId="0" fontId="68" fillId="8" borderId="0" xfId="0" applyFont="1" applyFill="1" applyBorder="1" applyAlignment="1">
      <alignment horizontal="center" vertical="center"/>
    </xf>
    <xf numFmtId="4" fontId="68" fillId="8" borderId="0" xfId="0" applyNumberFormat="1" applyFont="1" applyFill="1" applyBorder="1" applyAlignment="1">
      <alignment horizontal="right" vertical="center"/>
    </xf>
    <xf numFmtId="4" fontId="68" fillId="10" borderId="37" xfId="0" applyNumberFormat="1" applyFont="1" applyFill="1" applyBorder="1" applyAlignment="1">
      <alignment vertical="center"/>
    </xf>
    <xf numFmtId="4" fontId="68" fillId="10" borderId="21" xfId="0" applyNumberFormat="1" applyFont="1" applyFill="1" applyBorder="1" applyAlignment="1">
      <alignment vertical="center"/>
    </xf>
    <xf numFmtId="4" fontId="68" fillId="29" borderId="37" xfId="0" applyNumberFormat="1" applyFont="1" applyFill="1" applyBorder="1" applyAlignment="1">
      <alignment horizontal="right" vertical="center"/>
    </xf>
    <xf numFmtId="4" fontId="68" fillId="29" borderId="21" xfId="0" applyNumberFormat="1" applyFont="1" applyFill="1" applyBorder="1" applyAlignment="1">
      <alignment horizontal="right" vertical="center"/>
    </xf>
    <xf numFmtId="4" fontId="66" fillId="29" borderId="37" xfId="0" applyNumberFormat="1" applyFont="1" applyFill="1" applyBorder="1" applyAlignment="1">
      <alignment horizontal="right" vertical="center"/>
    </xf>
    <xf numFmtId="4" fontId="66" fillId="29" borderId="21" xfId="0" applyNumberFormat="1" applyFont="1" applyFill="1" applyBorder="1" applyAlignment="1">
      <alignment horizontal="right" vertical="center"/>
    </xf>
    <xf numFmtId="4" fontId="68" fillId="0" borderId="50" xfId="0" applyNumberFormat="1" applyFont="1" applyFill="1" applyBorder="1" applyAlignment="1">
      <alignment horizontal="right" vertical="center"/>
    </xf>
    <xf numFmtId="4" fontId="68" fillId="0" borderId="62" xfId="0" applyNumberFormat="1" applyFont="1" applyFill="1" applyBorder="1" applyAlignment="1">
      <alignment horizontal="right" vertical="center"/>
    </xf>
    <xf numFmtId="0" fontId="65" fillId="0" borderId="11" xfId="0" applyFont="1" applyBorder="1"/>
    <xf numFmtId="0" fontId="65" fillId="0" borderId="12" xfId="0" applyFont="1" applyBorder="1"/>
    <xf numFmtId="0" fontId="62" fillId="0" borderId="19" xfId="0" applyFont="1" applyBorder="1" applyAlignment="1">
      <alignment vertical="center" wrapText="1"/>
    </xf>
    <xf numFmtId="0" fontId="62" fillId="0" borderId="20" xfId="0" applyFont="1" applyBorder="1" applyAlignment="1">
      <alignment horizontal="center"/>
    </xf>
    <xf numFmtId="0" fontId="62" fillId="0" borderId="21" xfId="0" applyFont="1" applyBorder="1" applyAlignment="1">
      <alignment horizontal="center"/>
    </xf>
    <xf numFmtId="17" fontId="62" fillId="0" borderId="20" xfId="0" applyNumberFormat="1" applyFont="1" applyBorder="1" applyAlignment="1">
      <alignment horizontal="center"/>
    </xf>
    <xf numFmtId="0" fontId="68" fillId="3" borderId="10" xfId="0" applyFont="1" applyFill="1" applyBorder="1" applyAlignment="1">
      <alignment horizontal="center" vertical="center"/>
    </xf>
    <xf numFmtId="0" fontId="68" fillId="4" borderId="36" xfId="0" applyFont="1" applyFill="1" applyBorder="1" applyAlignment="1">
      <alignment horizontal="center" vertical="center"/>
    </xf>
    <xf numFmtId="0" fontId="66" fillId="0" borderId="33" xfId="0" applyFont="1" applyFill="1" applyBorder="1" applyAlignment="1">
      <alignment horizontal="center" vertical="center"/>
    </xf>
    <xf numFmtId="0" fontId="62" fillId="0" borderId="51" xfId="0" applyFont="1" applyBorder="1" applyAlignment="1">
      <alignment vertical="center"/>
    </xf>
    <xf numFmtId="4" fontId="62" fillId="0" borderId="52" xfId="0" applyNumberFormat="1" applyFont="1" applyBorder="1" applyAlignment="1">
      <alignment vertical="center"/>
    </xf>
    <xf numFmtId="4" fontId="62" fillId="0" borderId="53" xfId="0" applyNumberFormat="1" applyFont="1" applyBorder="1" applyAlignment="1">
      <alignment vertical="center"/>
    </xf>
    <xf numFmtId="0" fontId="62" fillId="0" borderId="16" xfId="0" applyFont="1" applyBorder="1" applyAlignment="1">
      <alignment vertical="center"/>
    </xf>
    <xf numFmtId="4" fontId="62" fillId="0" borderId="17" xfId="0" applyNumberFormat="1" applyFont="1" applyBorder="1" applyAlignment="1">
      <alignment vertical="center"/>
    </xf>
    <xf numFmtId="4" fontId="62" fillId="0" borderId="18" xfId="0" applyNumberFormat="1" applyFont="1" applyBorder="1" applyAlignment="1">
      <alignment vertical="center"/>
    </xf>
    <xf numFmtId="0" fontId="65" fillId="0" borderId="16" xfId="0" applyFont="1" applyBorder="1" applyAlignment="1">
      <alignment vertical="center"/>
    </xf>
    <xf numFmtId="4" fontId="65" fillId="0" borderId="17" xfId="0" applyNumberFormat="1" applyFont="1" applyBorder="1" applyAlignment="1">
      <alignment vertical="center"/>
    </xf>
    <xf numFmtId="4" fontId="65" fillId="0" borderId="18" xfId="0" applyNumberFormat="1" applyFont="1" applyBorder="1" applyAlignment="1">
      <alignment vertical="center"/>
    </xf>
    <xf numFmtId="0" fontId="70" fillId="0" borderId="16" xfId="0" applyFont="1" applyBorder="1" applyAlignment="1">
      <alignment vertical="center"/>
    </xf>
    <xf numFmtId="4" fontId="70" fillId="13" borderId="17" xfId="0" applyNumberFormat="1" applyFont="1" applyFill="1" applyBorder="1" applyAlignment="1">
      <alignment vertical="center"/>
    </xf>
    <xf numFmtId="4" fontId="70" fillId="13" borderId="18" xfId="0" applyNumberFormat="1" applyFont="1" applyFill="1" applyBorder="1" applyAlignment="1">
      <alignment vertical="center"/>
    </xf>
    <xf numFmtId="0" fontId="65" fillId="0" borderId="16" xfId="0" applyFont="1" applyFill="1" applyBorder="1" applyAlignment="1">
      <alignment vertical="center"/>
    </xf>
    <xf numFmtId="0" fontId="70" fillId="0" borderId="16" xfId="0" applyFont="1" applyFill="1" applyBorder="1" applyAlignment="1">
      <alignment vertical="center"/>
    </xf>
    <xf numFmtId="4" fontId="65" fillId="8" borderId="17" xfId="0" applyNumberFormat="1" applyFont="1" applyFill="1" applyBorder="1" applyAlignment="1">
      <alignment vertical="center"/>
    </xf>
    <xf numFmtId="4" fontId="65" fillId="8" borderId="18" xfId="0" applyNumberFormat="1" applyFont="1" applyFill="1" applyBorder="1" applyAlignment="1">
      <alignment vertical="center"/>
    </xf>
    <xf numFmtId="4" fontId="62" fillId="8" borderId="17" xfId="0" applyNumberFormat="1" applyFont="1" applyFill="1" applyBorder="1" applyAlignment="1">
      <alignment vertical="center"/>
    </xf>
    <xf numFmtId="4" fontId="62" fillId="8" borderId="18" xfId="0" applyNumberFormat="1" applyFont="1" applyFill="1" applyBorder="1" applyAlignment="1">
      <alignment vertical="center"/>
    </xf>
    <xf numFmtId="4" fontId="18" fillId="8" borderId="18" xfId="0" applyNumberFormat="1" applyFont="1" applyFill="1" applyBorder="1" applyAlignment="1">
      <alignment vertical="center"/>
    </xf>
    <xf numFmtId="4" fontId="65" fillId="13" borderId="17" xfId="0" applyNumberFormat="1" applyFont="1" applyFill="1" applyBorder="1" applyAlignment="1">
      <alignment vertical="center"/>
    </xf>
    <xf numFmtId="4" fontId="65" fillId="13" borderId="18" xfId="0" applyNumberFormat="1" applyFont="1" applyFill="1" applyBorder="1" applyAlignment="1">
      <alignment vertical="center"/>
    </xf>
    <xf numFmtId="4" fontId="65" fillId="0" borderId="17" xfId="0" applyNumberFormat="1" applyFont="1" applyFill="1" applyBorder="1" applyAlignment="1">
      <alignment vertical="center"/>
    </xf>
    <xf numFmtId="4" fontId="65" fillId="0" borderId="18" xfId="0" applyNumberFormat="1" applyFont="1" applyFill="1" applyBorder="1" applyAlignment="1">
      <alignment vertical="center"/>
    </xf>
    <xf numFmtId="0" fontId="62" fillId="30" borderId="33" xfId="0" applyFont="1" applyFill="1" applyBorder="1" applyAlignment="1">
      <alignment vertical="center"/>
    </xf>
    <xf numFmtId="4" fontId="62" fillId="30" borderId="54" xfId="0" applyNumberFormat="1" applyFont="1" applyFill="1" applyBorder="1" applyAlignment="1">
      <alignment vertical="center"/>
    </xf>
    <xf numFmtId="4" fontId="62" fillId="30" borderId="34" xfId="0" applyNumberFormat="1" applyFont="1" applyFill="1" applyBorder="1" applyAlignment="1">
      <alignment vertical="center"/>
    </xf>
    <xf numFmtId="0" fontId="62" fillId="20" borderId="51" xfId="0" applyFont="1" applyFill="1" applyBorder="1" applyAlignment="1">
      <alignment vertical="center"/>
    </xf>
    <xf numFmtId="0" fontId="62" fillId="20" borderId="52" xfId="0" applyFont="1" applyFill="1" applyBorder="1" applyAlignment="1">
      <alignment vertical="center"/>
    </xf>
    <xf numFmtId="0" fontId="62" fillId="20" borderId="53" xfId="0" applyFont="1" applyFill="1" applyBorder="1" applyAlignment="1">
      <alignment vertical="center"/>
    </xf>
    <xf numFmtId="0" fontId="18" fillId="8" borderId="16" xfId="0" applyFont="1" applyFill="1" applyBorder="1" applyAlignment="1">
      <alignment vertical="center"/>
    </xf>
    <xf numFmtId="4" fontId="18" fillId="8" borderId="17" xfId="0" applyNumberFormat="1" applyFont="1" applyFill="1" applyBorder="1" applyAlignment="1">
      <alignment vertical="center"/>
    </xf>
    <xf numFmtId="0" fontId="70" fillId="0" borderId="44" xfId="0" applyFont="1" applyFill="1" applyBorder="1" applyAlignment="1">
      <alignment vertical="center"/>
    </xf>
    <xf numFmtId="4" fontId="65" fillId="13" borderId="45" xfId="0" applyNumberFormat="1" applyFont="1" applyFill="1" applyBorder="1" applyAlignment="1">
      <alignment vertical="center"/>
    </xf>
    <xf numFmtId="4" fontId="65" fillId="13" borderId="46" xfId="0" applyNumberFormat="1" applyFont="1" applyFill="1" applyBorder="1" applyAlignment="1">
      <alignment vertical="center"/>
    </xf>
    <xf numFmtId="0" fontId="62" fillId="0" borderId="16" xfId="0" applyFont="1" applyFill="1" applyBorder="1" applyAlignment="1">
      <alignment vertical="center"/>
    </xf>
    <xf numFmtId="4" fontId="18" fillId="13" borderId="18" xfId="0" applyNumberFormat="1" applyFont="1" applyFill="1" applyBorder="1" applyAlignment="1">
      <alignment vertical="center"/>
    </xf>
    <xf numFmtId="0" fontId="70" fillId="0" borderId="44" xfId="0" applyFont="1" applyBorder="1" applyAlignment="1">
      <alignment vertical="center"/>
    </xf>
    <xf numFmtId="2" fontId="62" fillId="13" borderId="52" xfId="0" applyNumberFormat="1" applyFont="1" applyFill="1" applyBorder="1" applyAlignment="1">
      <alignment vertical="center"/>
    </xf>
    <xf numFmtId="2" fontId="62" fillId="13" borderId="53" xfId="0" applyNumberFormat="1" applyFont="1" applyFill="1" applyBorder="1" applyAlignment="1">
      <alignment vertical="center"/>
    </xf>
    <xf numFmtId="0" fontId="62" fillId="10" borderId="16" xfId="0" applyFont="1" applyFill="1" applyBorder="1" applyAlignment="1">
      <alignment vertical="center" wrapText="1"/>
    </xf>
    <xf numFmtId="4" fontId="65" fillId="10" borderId="17" xfId="0" applyNumberFormat="1" applyFont="1" applyFill="1" applyBorder="1" applyAlignment="1">
      <alignment vertical="center"/>
    </xf>
    <xf numFmtId="4" fontId="65" fillId="10" borderId="18" xfId="0" applyNumberFormat="1" applyFont="1" applyFill="1" applyBorder="1" applyAlignment="1">
      <alignment vertical="center"/>
    </xf>
    <xf numFmtId="0" fontId="65" fillId="0" borderId="22" xfId="0" applyFont="1" applyBorder="1" applyAlignment="1">
      <alignment vertical="center"/>
    </xf>
    <xf numFmtId="4" fontId="65" fillId="0" borderId="23" xfId="0" applyNumberFormat="1" applyFont="1" applyBorder="1" applyAlignment="1">
      <alignment vertical="center"/>
    </xf>
    <xf numFmtId="4" fontId="65" fillId="0" borderId="24" xfId="0" applyNumberFormat="1" applyFont="1" applyBorder="1" applyAlignment="1">
      <alignment vertical="center"/>
    </xf>
    <xf numFmtId="0" fontId="68" fillId="4" borderId="54" xfId="0" applyNumberFormat="1" applyFont="1" applyFill="1" applyBorder="1" applyAlignment="1">
      <alignment horizontal="center" vertical="center"/>
    </xf>
    <xf numFmtId="0" fontId="65" fillId="8" borderId="0" xfId="0" applyFont="1" applyFill="1"/>
    <xf numFmtId="0" fontId="62" fillId="4" borderId="51" xfId="0" applyFont="1" applyFill="1" applyBorder="1" applyAlignment="1">
      <alignment horizontal="center" vertical="center"/>
    </xf>
    <xf numFmtId="0" fontId="62" fillId="4" borderId="52" xfId="0" applyFont="1" applyFill="1" applyBorder="1" applyAlignment="1">
      <alignment horizontal="center" vertical="center"/>
    </xf>
    <xf numFmtId="0" fontId="62" fillId="4" borderId="52" xfId="0" applyFont="1" applyFill="1" applyBorder="1" applyAlignment="1">
      <alignment horizontal="center" vertical="center" wrapText="1"/>
    </xf>
    <xf numFmtId="0" fontId="67" fillId="4" borderId="52" xfId="0" applyFont="1" applyFill="1" applyBorder="1" applyAlignment="1">
      <alignment horizontal="center" vertical="center"/>
    </xf>
    <xf numFmtId="0" fontId="67" fillId="4" borderId="53" xfId="0" applyFont="1" applyFill="1" applyBorder="1" applyAlignment="1">
      <alignment horizontal="center" vertical="center"/>
    </xf>
    <xf numFmtId="0" fontId="62" fillId="4" borderId="16" xfId="0" applyFont="1" applyFill="1" applyBorder="1" applyAlignment="1">
      <alignment horizontal="center" vertical="center"/>
    </xf>
    <xf numFmtId="0" fontId="62" fillId="4" borderId="17" xfId="0" applyFont="1" applyFill="1" applyBorder="1" applyAlignment="1">
      <alignment horizontal="left" vertical="center"/>
    </xf>
    <xf numFmtId="0" fontId="62" fillId="4" borderId="17" xfId="0" applyFont="1" applyFill="1" applyBorder="1" applyAlignment="1">
      <alignment horizontal="center" vertical="center" wrapText="1"/>
    </xf>
    <xf numFmtId="0" fontId="62" fillId="4" borderId="17" xfId="0" applyFont="1" applyFill="1" applyBorder="1" applyAlignment="1">
      <alignment horizontal="center" vertical="center"/>
    </xf>
    <xf numFmtId="0" fontId="62" fillId="4" borderId="18" xfId="0" applyFont="1" applyFill="1" applyBorder="1" applyAlignment="1">
      <alignment horizontal="center" vertical="center"/>
    </xf>
    <xf numFmtId="0" fontId="65" fillId="0" borderId="16" xfId="0" applyFont="1" applyBorder="1" applyAlignment="1">
      <alignment horizontal="center" vertical="center"/>
    </xf>
    <xf numFmtId="0" fontId="65" fillId="8" borderId="17" xfId="0" applyFont="1" applyFill="1" applyBorder="1" applyAlignment="1">
      <alignment horizontal="left" vertical="center" wrapText="1"/>
    </xf>
    <xf numFmtId="0" fontId="18" fillId="8" borderId="17" xfId="0" applyFont="1" applyFill="1" applyBorder="1" applyAlignment="1">
      <alignment horizontal="left" vertical="center" wrapText="1"/>
    </xf>
    <xf numFmtId="0" fontId="65" fillId="0" borderId="17" xfId="0" applyFont="1" applyBorder="1" applyAlignment="1">
      <alignment horizontal="left" vertical="center" wrapText="1"/>
    </xf>
    <xf numFmtId="0" fontId="65" fillId="0" borderId="22" xfId="0" applyFont="1" applyBorder="1" applyAlignment="1">
      <alignment horizontal="center" vertical="center"/>
    </xf>
    <xf numFmtId="0" fontId="65" fillId="8" borderId="61" xfId="0" applyFont="1" applyFill="1" applyBorder="1" applyAlignment="1">
      <alignment horizontal="center" vertical="center"/>
    </xf>
    <xf numFmtId="0" fontId="62" fillId="8" borderId="0" xfId="0" applyFont="1" applyFill="1" applyBorder="1" applyAlignment="1">
      <alignment horizontal="left" vertical="center"/>
    </xf>
    <xf numFmtId="0" fontId="65" fillId="8" borderId="0" xfId="0" applyFont="1" applyFill="1" applyBorder="1" applyAlignment="1">
      <alignment horizontal="center" vertical="center"/>
    </xf>
    <xf numFmtId="4" fontId="62" fillId="8" borderId="0" xfId="0" applyNumberFormat="1" applyFont="1" applyFill="1" applyBorder="1" applyAlignment="1">
      <alignment vertical="center"/>
    </xf>
    <xf numFmtId="4" fontId="62" fillId="8" borderId="62" xfId="0" applyNumberFormat="1" applyFont="1" applyFill="1" applyBorder="1" applyAlignment="1">
      <alignment vertical="center"/>
    </xf>
    <xf numFmtId="0" fontId="65" fillId="8" borderId="61" xfId="0" applyFont="1" applyFill="1" applyBorder="1" applyAlignment="1">
      <alignment horizontal="left" vertical="center"/>
    </xf>
    <xf numFmtId="0" fontId="62" fillId="4" borderId="36" xfId="0" applyFont="1" applyFill="1" applyBorder="1" applyAlignment="1">
      <alignment horizontal="center" vertical="center" wrapText="1"/>
    </xf>
    <xf numFmtId="0" fontId="62" fillId="4" borderId="6" xfId="0" applyFont="1" applyFill="1" applyBorder="1" applyAlignment="1">
      <alignment horizontal="center" vertical="center" wrapText="1"/>
    </xf>
    <xf numFmtId="0" fontId="67" fillId="4" borderId="36" xfId="0" applyFont="1" applyFill="1" applyBorder="1" applyAlignment="1">
      <alignment horizontal="center" vertical="center"/>
    </xf>
    <xf numFmtId="0" fontId="62" fillId="4" borderId="38" xfId="0" applyFont="1" applyFill="1" applyBorder="1" applyAlignment="1">
      <alignment horizontal="center" vertical="center"/>
    </xf>
    <xf numFmtId="0" fontId="62" fillId="4" borderId="38" xfId="0" applyFont="1" applyFill="1" applyBorder="1" applyAlignment="1">
      <alignment horizontal="left" vertical="center"/>
    </xf>
    <xf numFmtId="0" fontId="65" fillId="0" borderId="39" xfId="0" applyFont="1" applyBorder="1" applyAlignment="1">
      <alignment horizontal="center" vertical="center"/>
    </xf>
    <xf numFmtId="0" fontId="65" fillId="0" borderId="39" xfId="0" applyFont="1" applyBorder="1" applyAlignment="1">
      <alignment horizontal="left" vertical="center"/>
    </xf>
    <xf numFmtId="0" fontId="65" fillId="0" borderId="37" xfId="0" applyFont="1" applyBorder="1" applyAlignment="1">
      <alignment horizontal="center" vertical="center"/>
    </xf>
    <xf numFmtId="0" fontId="65" fillId="0" borderId="37" xfId="0" applyFont="1" applyBorder="1" applyAlignment="1">
      <alignment horizontal="left" vertical="center"/>
    </xf>
    <xf numFmtId="0" fontId="65" fillId="0" borderId="61" xfId="0" applyFont="1" applyBorder="1"/>
    <xf numFmtId="0" fontId="65" fillId="0" borderId="0" xfId="0" applyFont="1" applyBorder="1"/>
    <xf numFmtId="0" fontId="62" fillId="2" borderId="4" xfId="0" applyFont="1" applyFill="1" applyBorder="1" applyAlignment="1">
      <alignment horizontal="center" wrapText="1"/>
    </xf>
    <xf numFmtId="0" fontId="62" fillId="2" borderId="60" xfId="0" applyFont="1" applyFill="1" applyBorder="1" applyAlignment="1">
      <alignment horizontal="center" wrapText="1"/>
    </xf>
    <xf numFmtId="0" fontId="62" fillId="2" borderId="5" xfId="0" applyFont="1" applyFill="1" applyBorder="1" applyAlignment="1">
      <alignment horizontal="center" wrapText="1"/>
    </xf>
    <xf numFmtId="0" fontId="62" fillId="2" borderId="63" xfId="0" applyFont="1" applyFill="1" applyBorder="1" applyAlignment="1">
      <alignment horizontal="center" vertical="center" wrapText="1"/>
    </xf>
    <xf numFmtId="0" fontId="62" fillId="0" borderId="4" xfId="0" applyFont="1" applyBorder="1" applyAlignment="1">
      <alignment horizontal="center" vertical="center" wrapText="1"/>
    </xf>
    <xf numFmtId="0" fontId="62" fillId="0" borderId="60" xfId="0" applyFont="1" applyBorder="1" applyAlignment="1">
      <alignment horizontal="center" vertical="center" wrapText="1"/>
    </xf>
    <xf numFmtId="0" fontId="62" fillId="0" borderId="5" xfId="0" applyFont="1" applyBorder="1" applyAlignment="1">
      <alignment horizontal="center" vertical="center" wrapText="1"/>
    </xf>
    <xf numFmtId="0" fontId="62" fillId="0" borderId="4" xfId="0" applyFont="1" applyBorder="1" applyAlignment="1">
      <alignment horizontal="left" vertical="center" wrapText="1"/>
    </xf>
    <xf numFmtId="0" fontId="62" fillId="0" borderId="5" xfId="0" applyFont="1" applyBorder="1" applyAlignment="1">
      <alignment horizontal="left" vertical="center" wrapText="1"/>
    </xf>
    <xf numFmtId="0" fontId="62" fillId="30" borderId="1" xfId="0" applyFont="1" applyFill="1" applyBorder="1" applyAlignment="1">
      <alignment horizontal="center" vertical="center" wrapText="1"/>
    </xf>
    <xf numFmtId="0" fontId="62" fillId="30" borderId="2" xfId="0" applyFont="1" applyFill="1" applyBorder="1" applyAlignment="1">
      <alignment horizontal="center" vertical="center" wrapText="1"/>
    </xf>
    <xf numFmtId="0" fontId="62" fillId="30" borderId="3" xfId="0" applyFont="1" applyFill="1" applyBorder="1" applyAlignment="1">
      <alignment horizontal="center" vertical="center" wrapText="1"/>
    </xf>
    <xf numFmtId="0" fontId="62" fillId="3" borderId="61" xfId="0" applyFont="1" applyFill="1" applyBorder="1" applyAlignment="1">
      <alignment horizontal="center" vertical="center" wrapText="1"/>
    </xf>
    <xf numFmtId="0" fontId="62" fillId="3" borderId="0" xfId="0" applyFont="1" applyFill="1" applyBorder="1" applyAlignment="1">
      <alignment horizontal="center" vertical="center" wrapText="1"/>
    </xf>
    <xf numFmtId="0" fontId="62" fillId="3" borderId="62" xfId="0" applyFont="1" applyFill="1" applyBorder="1" applyAlignment="1">
      <alignment horizontal="center" vertical="center" wrapText="1"/>
    </xf>
    <xf numFmtId="0" fontId="18" fillId="8" borderId="17" xfId="0" applyFont="1" applyFill="1" applyBorder="1" applyAlignment="1">
      <alignment horizontal="center" vertical="center"/>
    </xf>
    <xf numFmtId="4" fontId="18" fillId="0" borderId="17" xfId="0" applyNumberFormat="1" applyFont="1" applyBorder="1" applyAlignment="1">
      <alignment horizontal="right" vertical="center"/>
    </xf>
    <xf numFmtId="4" fontId="18" fillId="0" borderId="17" xfId="0" applyNumberFormat="1" applyFont="1" applyBorder="1" applyAlignment="1">
      <alignment vertical="center"/>
    </xf>
    <xf numFmtId="4" fontId="71" fillId="0" borderId="17" xfId="0" applyNumberFormat="1" applyFont="1" applyBorder="1" applyAlignment="1">
      <alignment vertical="center"/>
    </xf>
    <xf numFmtId="4" fontId="71" fillId="8" borderId="17" xfId="0" applyNumberFormat="1" applyFont="1" applyFill="1" applyBorder="1" applyAlignment="1">
      <alignment vertical="center"/>
    </xf>
    <xf numFmtId="4" fontId="65" fillId="0" borderId="45" xfId="0" applyNumberFormat="1" applyFont="1" applyBorder="1" applyAlignment="1">
      <alignment vertical="center"/>
    </xf>
    <xf numFmtId="4" fontId="65" fillId="0" borderId="46" xfId="0" applyNumberFormat="1" applyFont="1" applyBorder="1" applyAlignment="1">
      <alignment vertical="center"/>
    </xf>
    <xf numFmtId="0" fontId="62" fillId="0" borderId="23" xfId="0" applyFont="1" applyBorder="1" applyAlignment="1">
      <alignment horizontal="left" vertical="center"/>
    </xf>
    <xf numFmtId="0" fontId="65" fillId="0" borderId="23" xfId="0" applyFont="1" applyBorder="1" applyAlignment="1">
      <alignment horizontal="center" vertical="center"/>
    </xf>
    <xf numFmtId="4" fontId="62" fillId="0" borderId="23" xfId="0" applyNumberFormat="1" applyFont="1" applyBorder="1" applyAlignment="1">
      <alignment vertical="center"/>
    </xf>
    <xf numFmtId="4" fontId="62" fillId="0" borderId="24" xfId="0" applyNumberFormat="1" applyFont="1" applyBorder="1" applyAlignment="1">
      <alignment vertical="center"/>
    </xf>
    <xf numFmtId="0" fontId="62" fillId="3" borderId="1" xfId="0" applyFont="1" applyFill="1" applyBorder="1" applyAlignment="1">
      <alignment horizontal="center" vertical="center" wrapText="1"/>
    </xf>
    <xf numFmtId="0" fontId="62" fillId="3" borderId="2" xfId="0" applyFont="1" applyFill="1" applyBorder="1" applyAlignment="1">
      <alignment horizontal="center" vertical="center" wrapText="1"/>
    </xf>
    <xf numFmtId="0" fontId="62" fillId="3" borderId="3" xfId="0" applyFont="1" applyFill="1" applyBorder="1" applyAlignment="1">
      <alignment horizontal="center" vertical="center" wrapText="1"/>
    </xf>
    <xf numFmtId="0" fontId="62" fillId="10" borderId="52" xfId="0" applyFont="1" applyFill="1" applyBorder="1" applyAlignment="1">
      <alignment horizontal="left" vertical="center" indent="3"/>
    </xf>
    <xf numFmtId="0" fontId="62" fillId="10" borderId="52" xfId="0" applyFont="1" applyFill="1" applyBorder="1" applyAlignment="1">
      <alignment horizontal="center" vertical="center"/>
    </xf>
    <xf numFmtId="0" fontId="62" fillId="2" borderId="52" xfId="0" applyFont="1" applyFill="1" applyBorder="1" applyAlignment="1">
      <alignment horizontal="center" vertical="center"/>
    </xf>
    <xf numFmtId="0" fontId="62" fillId="2" borderId="70" xfId="0" applyFont="1" applyFill="1" applyBorder="1" applyAlignment="1">
      <alignment horizontal="center" vertical="center"/>
    </xf>
    <xf numFmtId="0" fontId="62" fillId="2" borderId="53" xfId="0" applyFont="1" applyFill="1" applyBorder="1" applyAlignment="1">
      <alignment horizontal="center" vertical="center"/>
    </xf>
    <xf numFmtId="0" fontId="62" fillId="10" borderId="17" xfId="0" applyFont="1" applyFill="1" applyBorder="1" applyAlignment="1">
      <alignment horizontal="left" vertical="center" indent="3"/>
    </xf>
    <xf numFmtId="0" fontId="62" fillId="10" borderId="17" xfId="0" applyFont="1" applyFill="1" applyBorder="1" applyAlignment="1">
      <alignment horizontal="center" vertical="center"/>
    </xf>
    <xf numFmtId="0" fontId="62" fillId="10" borderId="17" xfId="0" applyFont="1" applyFill="1" applyBorder="1" applyAlignment="1">
      <alignment horizontal="center" vertical="center" wrapText="1"/>
    </xf>
    <xf numFmtId="0" fontId="62" fillId="10" borderId="25" xfId="0" applyFont="1" applyFill="1" applyBorder="1" applyAlignment="1">
      <alignment horizontal="center" vertical="center"/>
    </xf>
    <xf numFmtId="0" fontId="62" fillId="10" borderId="18" xfId="0" applyFont="1" applyFill="1" applyBorder="1" applyAlignment="1">
      <alignment horizontal="center" vertical="center"/>
    </xf>
    <xf numFmtId="0" fontId="62" fillId="10" borderId="17" xfId="0" applyFont="1" applyFill="1" applyBorder="1" applyAlignment="1">
      <alignment horizontal="center" vertical="center" wrapText="1"/>
    </xf>
    <xf numFmtId="0" fontId="62" fillId="10" borderId="25" xfId="0" applyFont="1" applyFill="1" applyBorder="1" applyAlignment="1">
      <alignment horizontal="center" vertical="center" wrapText="1"/>
    </xf>
    <xf numFmtId="0" fontId="62" fillId="10" borderId="18" xfId="0" applyFont="1" applyFill="1" applyBorder="1" applyAlignment="1">
      <alignment horizontal="center" vertical="center" wrapText="1"/>
    </xf>
    <xf numFmtId="4" fontId="65" fillId="2" borderId="17" xfId="0" applyNumberFormat="1" applyFont="1" applyFill="1" applyBorder="1" applyAlignment="1">
      <alignment horizontal="right" vertical="center"/>
    </xf>
    <xf numFmtId="4" fontId="65" fillId="0" borderId="17" xfId="0" applyNumberFormat="1" applyFont="1" applyBorder="1" applyAlignment="1">
      <alignment horizontal="right" vertical="center"/>
    </xf>
    <xf numFmtId="4" fontId="65" fillId="8" borderId="17" xfId="0" applyNumberFormat="1" applyFont="1" applyFill="1" applyBorder="1" applyAlignment="1">
      <alignment horizontal="right" vertical="center"/>
    </xf>
    <xf numFmtId="4" fontId="65" fillId="0" borderId="25" xfId="0" applyNumberFormat="1" applyFont="1" applyBorder="1" applyAlignment="1">
      <alignment horizontal="right" vertical="center"/>
    </xf>
    <xf numFmtId="4" fontId="65" fillId="8" borderId="18" xfId="0" applyNumberFormat="1" applyFont="1" applyFill="1" applyBorder="1" applyAlignment="1">
      <alignment horizontal="right" vertical="center"/>
    </xf>
    <xf numFmtId="4" fontId="65" fillId="0" borderId="18" xfId="0" applyNumberFormat="1" applyFont="1" applyBorder="1" applyAlignment="1">
      <alignment horizontal="right" vertical="center"/>
    </xf>
    <xf numFmtId="4" fontId="65" fillId="0" borderId="25" xfId="0" applyNumberFormat="1" applyFont="1" applyBorder="1" applyAlignment="1">
      <alignment vertical="center"/>
    </xf>
    <xf numFmtId="0" fontId="65" fillId="13" borderId="17" xfId="0" applyFont="1" applyFill="1" applyBorder="1" applyAlignment="1">
      <alignment horizontal="left" vertical="center" wrapText="1"/>
    </xf>
    <xf numFmtId="0" fontId="18" fillId="13" borderId="16" xfId="0" applyFont="1" applyFill="1" applyBorder="1" applyAlignment="1">
      <alignment horizontal="center" vertical="center"/>
    </xf>
    <xf numFmtId="0" fontId="18" fillId="8" borderId="16" xfId="0" applyFont="1" applyFill="1" applyBorder="1" applyAlignment="1">
      <alignment horizontal="center" vertical="center"/>
    </xf>
    <xf numFmtId="4" fontId="62" fillId="2" borderId="17" xfId="0" applyNumberFormat="1" applyFont="1" applyFill="1" applyBorder="1" applyAlignment="1">
      <alignment horizontal="right" vertical="center"/>
    </xf>
    <xf numFmtId="0" fontId="62" fillId="0" borderId="4" xfId="0" applyFont="1" applyBorder="1" applyAlignment="1">
      <alignment horizontal="center"/>
    </xf>
    <xf numFmtId="0" fontId="62" fillId="0" borderId="60" xfId="0" applyFont="1" applyBorder="1" applyAlignment="1">
      <alignment horizontal="center"/>
    </xf>
    <xf numFmtId="0" fontId="62" fillId="0" borderId="5" xfId="0" applyFont="1" applyBorder="1" applyAlignment="1">
      <alignment horizontal="center"/>
    </xf>
    <xf numFmtId="0" fontId="62" fillId="2" borderId="1" xfId="0" applyFont="1" applyFill="1" applyBorder="1" applyAlignment="1">
      <alignment horizontal="center" wrapText="1"/>
    </xf>
    <xf numFmtId="0" fontId="62" fillId="2" borderId="2" xfId="0" applyFont="1" applyFill="1" applyBorder="1" applyAlignment="1">
      <alignment horizontal="center" wrapText="1"/>
    </xf>
    <xf numFmtId="0" fontId="62" fillId="2" borderId="60" xfId="0" applyFont="1" applyFill="1" applyBorder="1" applyAlignment="1">
      <alignment horizontal="center" wrapText="1"/>
    </xf>
    <xf numFmtId="0" fontId="62" fillId="2" borderId="1" xfId="0" applyFont="1" applyFill="1" applyBorder="1" applyAlignment="1">
      <alignment horizontal="center" vertical="center" wrapText="1"/>
    </xf>
    <xf numFmtId="0" fontId="62" fillId="2" borderId="2" xfId="0" applyFont="1" applyFill="1" applyBorder="1" applyAlignment="1">
      <alignment horizontal="center" vertical="center" wrapText="1"/>
    </xf>
    <xf numFmtId="0" fontId="62" fillId="2" borderId="8" xfId="0" applyFont="1" applyFill="1" applyBorder="1" applyAlignment="1">
      <alignment horizontal="center" vertical="center" wrapText="1"/>
    </xf>
    <xf numFmtId="0" fontId="62" fillId="0" borderId="60" xfId="0" applyFont="1" applyBorder="1" applyAlignment="1">
      <alignment horizontal="left" vertical="center" wrapText="1"/>
    </xf>
    <xf numFmtId="0" fontId="62" fillId="0" borderId="60" xfId="0" applyFont="1" applyBorder="1" applyAlignment="1">
      <alignment horizontal="center" vertical="center" wrapText="1"/>
    </xf>
    <xf numFmtId="0" fontId="62" fillId="0" borderId="3" xfId="0" applyFont="1" applyBorder="1" applyAlignment="1">
      <alignment horizontal="center" vertical="center" wrapText="1"/>
    </xf>
    <xf numFmtId="0" fontId="62" fillId="30" borderId="4" xfId="0" applyFont="1" applyFill="1" applyBorder="1" applyAlignment="1">
      <alignment horizontal="center" vertical="center" wrapText="1"/>
    </xf>
    <xf numFmtId="0" fontId="62" fillId="30" borderId="60" xfId="0" applyFont="1" applyFill="1" applyBorder="1" applyAlignment="1">
      <alignment horizontal="center" vertical="center" wrapText="1"/>
    </xf>
    <xf numFmtId="0" fontId="62" fillId="30" borderId="5" xfId="0" applyFont="1" applyFill="1" applyBorder="1" applyAlignment="1">
      <alignment horizontal="center" vertical="center" wrapText="1"/>
    </xf>
    <xf numFmtId="0" fontId="62" fillId="3" borderId="22" xfId="0" applyFont="1" applyFill="1" applyBorder="1" applyAlignment="1">
      <alignment horizontal="center" vertical="center"/>
    </xf>
    <xf numFmtId="0" fontId="62" fillId="3" borderId="23" xfId="0" applyFont="1" applyFill="1" applyBorder="1" applyAlignment="1">
      <alignment horizontal="center" vertical="center"/>
    </xf>
    <xf numFmtId="0" fontId="62" fillId="3" borderId="27" xfId="0" applyFont="1" applyFill="1" applyBorder="1" applyAlignment="1">
      <alignment horizontal="center" vertical="center"/>
    </xf>
    <xf numFmtId="0" fontId="62" fillId="3" borderId="24" xfId="0" applyFont="1" applyFill="1" applyBorder="1" applyAlignment="1">
      <alignment horizontal="center" vertical="center"/>
    </xf>
    <xf numFmtId="0" fontId="62" fillId="2" borderId="51" xfId="0" applyFont="1" applyFill="1" applyBorder="1" applyAlignment="1">
      <alignment horizontal="center" vertical="center" wrapText="1"/>
    </xf>
    <xf numFmtId="0" fontId="62" fillId="2" borderId="16" xfId="0" applyFont="1" applyFill="1" applyBorder="1" applyAlignment="1">
      <alignment horizontal="center" vertical="center" wrapText="1"/>
    </xf>
    <xf numFmtId="0" fontId="62" fillId="10" borderId="17" xfId="0" applyFont="1" applyFill="1" applyBorder="1" applyAlignment="1">
      <alignment horizontal="left" vertical="center"/>
    </xf>
    <xf numFmtId="3" fontId="62" fillId="10" borderId="17" xfId="0" applyNumberFormat="1" applyFont="1" applyFill="1" applyBorder="1" applyAlignment="1">
      <alignment horizontal="right" vertical="center"/>
    </xf>
    <xf numFmtId="0" fontId="65" fillId="0" borderId="17" xfId="0" applyFont="1" applyBorder="1" applyAlignment="1">
      <alignment horizontal="left" vertical="center" indent="1"/>
    </xf>
    <xf numFmtId="3" fontId="65" fillId="8" borderId="17" xfId="0" applyNumberFormat="1" applyFont="1" applyFill="1" applyBorder="1" applyAlignment="1">
      <alignment horizontal="right" vertical="center"/>
    </xf>
    <xf numFmtId="0" fontId="65" fillId="0" borderId="17" xfId="0" applyFont="1" applyBorder="1" applyAlignment="1">
      <alignment horizontal="left" vertical="center" indent="2"/>
    </xf>
    <xf numFmtId="10" fontId="65" fillId="0" borderId="17" xfId="21" applyNumberFormat="1" applyFont="1" applyFill="1" applyBorder="1" applyAlignment="1">
      <alignment horizontal="right" vertical="center"/>
    </xf>
    <xf numFmtId="4" fontId="62" fillId="10" borderId="17" xfId="0" applyNumberFormat="1" applyFont="1" applyFill="1" applyBorder="1" applyAlignment="1">
      <alignment horizontal="right" vertical="center"/>
    </xf>
    <xf numFmtId="3" fontId="18" fillId="8" borderId="17" xfId="0" applyNumberFormat="1" applyFont="1" applyFill="1" applyBorder="1" applyAlignment="1">
      <alignment horizontal="right" vertical="center"/>
    </xf>
    <xf numFmtId="0" fontId="65" fillId="0" borderId="17" xfId="0" applyFont="1" applyFill="1" applyBorder="1" applyAlignment="1">
      <alignment horizontal="left" vertical="center" indent="1"/>
    </xf>
    <xf numFmtId="4" fontId="65" fillId="0" borderId="17" xfId="0" applyNumberFormat="1" applyFont="1" applyFill="1" applyBorder="1" applyAlignment="1">
      <alignment horizontal="right" vertical="center"/>
    </xf>
    <xf numFmtId="3" fontId="65" fillId="0" borderId="17" xfId="0" applyNumberFormat="1" applyFont="1" applyFill="1" applyBorder="1" applyAlignment="1">
      <alignment horizontal="right" vertical="center"/>
    </xf>
    <xf numFmtId="170" fontId="62" fillId="10" borderId="17" xfId="0" applyNumberFormat="1" applyFont="1" applyFill="1" applyBorder="1" applyAlignment="1">
      <alignment horizontal="right" vertical="center"/>
    </xf>
    <xf numFmtId="170" fontId="65" fillId="0" borderId="17" xfId="0" applyNumberFormat="1" applyFont="1" applyFill="1" applyBorder="1" applyAlignment="1">
      <alignment horizontal="right" vertical="center"/>
    </xf>
    <xf numFmtId="0" fontId="72" fillId="0" borderId="17" xfId="0" applyFont="1" applyBorder="1" applyAlignment="1">
      <alignment horizontal="center" vertical="center" wrapText="1"/>
    </xf>
    <xf numFmtId="4" fontId="62" fillId="10" borderId="17" xfId="0" applyNumberFormat="1" applyFont="1" applyFill="1" applyBorder="1" applyAlignment="1">
      <alignment horizontal="left" vertical="center"/>
    </xf>
    <xf numFmtId="0" fontId="62" fillId="10" borderId="17" xfId="0" applyFont="1" applyFill="1" applyBorder="1" applyAlignment="1">
      <alignment horizontal="left" vertical="center" indent="2"/>
    </xf>
    <xf numFmtId="0" fontId="65" fillId="0" borderId="17" xfId="0" applyFont="1" applyBorder="1" applyAlignment="1">
      <alignment horizontal="left" vertical="center" indent="4"/>
    </xf>
    <xf numFmtId="0" fontId="65" fillId="0" borderId="17" xfId="0" applyFont="1" applyBorder="1" applyAlignment="1">
      <alignment horizontal="left" vertical="center" wrapText="1" indent="4"/>
    </xf>
    <xf numFmtId="0" fontId="65" fillId="0" borderId="17" xfId="0" applyFont="1" applyBorder="1" applyAlignment="1">
      <alignment horizontal="left" vertical="center"/>
    </xf>
    <xf numFmtId="171" fontId="62" fillId="10" borderId="17" xfId="0" applyNumberFormat="1" applyFont="1" applyFill="1" applyBorder="1" applyAlignment="1">
      <alignment horizontal="right" vertical="center"/>
    </xf>
    <xf numFmtId="171" fontId="65" fillId="0" borderId="17" xfId="0" applyNumberFormat="1" applyFont="1" applyFill="1" applyBorder="1" applyAlignment="1">
      <alignment horizontal="right" vertical="center"/>
    </xf>
    <xf numFmtId="0" fontId="65" fillId="0" borderId="17" xfId="0" applyFont="1" applyFill="1" applyBorder="1" applyAlignment="1">
      <alignment horizontal="left" vertical="center"/>
    </xf>
    <xf numFmtId="0" fontId="62" fillId="0" borderId="17" xfId="0" applyFont="1" applyFill="1" applyBorder="1" applyAlignment="1">
      <alignment horizontal="left" vertical="center"/>
    </xf>
    <xf numFmtId="4" fontId="62" fillId="0" borderId="17" xfId="0" applyNumberFormat="1" applyFont="1" applyFill="1" applyBorder="1" applyAlignment="1">
      <alignment horizontal="right" vertical="center"/>
    </xf>
    <xf numFmtId="0" fontId="65" fillId="0" borderId="17" xfId="0" applyFont="1" applyFill="1" applyBorder="1" applyAlignment="1">
      <alignment horizontal="center" vertical="center"/>
    </xf>
    <xf numFmtId="3" fontId="62" fillId="8" borderId="17" xfId="0" applyNumberFormat="1" applyFont="1" applyFill="1" applyBorder="1" applyAlignment="1">
      <alignment horizontal="right" vertical="center"/>
    </xf>
    <xf numFmtId="0" fontId="65" fillId="8" borderId="17" xfId="0" applyFont="1" applyFill="1" applyBorder="1" applyAlignment="1">
      <alignment horizontal="left" vertical="center"/>
    </xf>
    <xf numFmtId="0" fontId="65" fillId="8" borderId="17" xfId="0" applyFont="1" applyFill="1" applyBorder="1" applyAlignment="1">
      <alignment horizontal="left" vertical="center" indent="2"/>
    </xf>
    <xf numFmtId="0" fontId="62" fillId="0" borderId="17" xfId="0" applyFont="1" applyBorder="1" applyAlignment="1">
      <alignment horizontal="center" vertical="top"/>
    </xf>
    <xf numFmtId="0" fontId="62" fillId="2" borderId="17" xfId="0" applyFont="1" applyFill="1" applyBorder="1" applyAlignment="1">
      <alignment horizontal="center" wrapText="1"/>
    </xf>
    <xf numFmtId="0" fontId="62" fillId="2" borderId="17" xfId="0" applyFont="1" applyFill="1" applyBorder="1" applyAlignment="1">
      <alignment horizontal="center" wrapText="1"/>
    </xf>
    <xf numFmtId="0" fontId="62" fillId="2" borderId="17" xfId="0" applyFont="1" applyFill="1" applyBorder="1" applyAlignment="1">
      <alignment horizontal="center" vertical="center" wrapText="1"/>
    </xf>
    <xf numFmtId="0" fontId="62" fillId="2" borderId="17" xfId="0" applyFont="1" applyFill="1" applyBorder="1" applyAlignment="1">
      <alignment horizontal="center" vertical="center" wrapText="1"/>
    </xf>
    <xf numFmtId="0" fontId="62" fillId="0" borderId="17" xfId="0" applyFont="1" applyBorder="1" applyAlignment="1">
      <alignment horizontal="left" vertical="center" wrapText="1" indent="1"/>
    </xf>
    <xf numFmtId="0" fontId="62" fillId="30" borderId="17" xfId="0" applyFont="1" applyFill="1" applyBorder="1" applyAlignment="1">
      <alignment horizontal="center" vertical="center" wrapText="1"/>
    </xf>
    <xf numFmtId="0" fontId="68" fillId="4" borderId="17" xfId="0" applyFont="1" applyFill="1" applyBorder="1" applyAlignment="1">
      <alignment horizontal="center" vertical="center"/>
    </xf>
    <xf numFmtId="0" fontId="69" fillId="4" borderId="17" xfId="0" applyFont="1" applyFill="1" applyBorder="1" applyAlignment="1">
      <alignment horizontal="center" vertical="center" wrapText="1"/>
    </xf>
    <xf numFmtId="0" fontId="68" fillId="4" borderId="17" xfId="0" applyFont="1" applyFill="1" applyBorder="1" applyAlignment="1">
      <alignment horizontal="center" vertical="center" wrapText="1"/>
    </xf>
    <xf numFmtId="0" fontId="62" fillId="8" borderId="17" xfId="0" applyFont="1" applyFill="1" applyBorder="1" applyAlignment="1">
      <alignment horizontal="left" vertical="center"/>
    </xf>
    <xf numFmtId="0" fontId="62" fillId="2" borderId="17" xfId="0" applyFont="1" applyFill="1" applyBorder="1" applyAlignment="1">
      <alignment horizontal="center" vertical="center"/>
    </xf>
    <xf numFmtId="0" fontId="62" fillId="10" borderId="17" xfId="0" applyFont="1" applyFill="1" applyBorder="1" applyAlignment="1">
      <alignment horizontal="center" vertical="center"/>
    </xf>
    <xf numFmtId="0" fontId="65" fillId="0" borderId="17" xfId="0" applyFont="1" applyBorder="1" applyAlignment="1">
      <alignment vertical="center"/>
    </xf>
    <xf numFmtId="0" fontId="62" fillId="0" borderId="17" xfId="0" applyFont="1" applyBorder="1" applyAlignment="1">
      <alignment vertical="center"/>
    </xf>
    <xf numFmtId="0" fontId="65" fillId="0" borderId="17" xfId="0" applyFont="1" applyBorder="1" applyAlignment="1">
      <alignment horizontal="left" vertical="center" wrapText="1" indent="1"/>
    </xf>
    <xf numFmtId="0" fontId="18" fillId="0" borderId="17" xfId="0" applyFont="1" applyBorder="1" applyAlignment="1">
      <alignment horizontal="left" vertical="center" wrapText="1" indent="1"/>
    </xf>
    <xf numFmtId="4" fontId="18" fillId="2" borderId="17" xfId="0" applyNumberFormat="1" applyFont="1" applyFill="1" applyBorder="1" applyAlignment="1">
      <alignment horizontal="right" vertical="center"/>
    </xf>
    <xf numFmtId="0" fontId="62" fillId="2" borderId="43" xfId="0" applyFont="1" applyFill="1" applyBorder="1" applyAlignment="1">
      <alignment vertical="top"/>
    </xf>
    <xf numFmtId="0" fontId="65" fillId="2" borderId="14" xfId="0" applyFont="1" applyFill="1" applyBorder="1" applyAlignment="1">
      <alignment vertical="top"/>
    </xf>
    <xf numFmtId="0" fontId="65" fillId="2" borderId="48" xfId="0" applyFont="1" applyFill="1" applyBorder="1" applyAlignment="1">
      <alignment vertical="top"/>
    </xf>
    <xf numFmtId="0" fontId="65" fillId="2" borderId="75" xfId="0" applyFont="1" applyFill="1" applyBorder="1" applyAlignment="1">
      <alignment vertical="top"/>
    </xf>
    <xf numFmtId="0" fontId="65" fillId="2" borderId="0" xfId="0" applyFont="1" applyFill="1" applyBorder="1" applyAlignment="1">
      <alignment vertical="top"/>
    </xf>
    <xf numFmtId="0" fontId="65" fillId="2" borderId="72" xfId="0" applyFont="1" applyFill="1" applyBorder="1" applyAlignment="1">
      <alignment vertical="top"/>
    </xf>
    <xf numFmtId="0" fontId="65" fillId="2" borderId="75" xfId="0" applyFont="1" applyFill="1" applyBorder="1" applyAlignment="1">
      <alignment horizontal="left" vertical="top" wrapText="1"/>
    </xf>
    <xf numFmtId="0" fontId="65" fillId="2" borderId="0" xfId="0" applyFont="1" applyFill="1" applyBorder="1" applyAlignment="1">
      <alignment horizontal="left" vertical="top" wrapText="1"/>
    </xf>
    <xf numFmtId="0" fontId="65" fillId="2" borderId="72" xfId="0" applyFont="1" applyFill="1" applyBorder="1" applyAlignment="1">
      <alignment horizontal="left" vertical="top" wrapText="1"/>
    </xf>
    <xf numFmtId="0" fontId="65" fillId="2" borderId="29" xfId="0" applyFont="1" applyFill="1" applyBorder="1" applyAlignment="1">
      <alignment horizontal="left" vertical="top" wrapText="1"/>
    </xf>
    <xf numFmtId="0" fontId="65" fillId="2" borderId="74" xfId="0" applyFont="1" applyFill="1" applyBorder="1" applyAlignment="1">
      <alignment horizontal="left" vertical="top" wrapText="1"/>
    </xf>
    <xf numFmtId="0" fontId="65" fillId="2" borderId="42" xfId="0" applyFont="1" applyFill="1" applyBorder="1" applyAlignment="1">
      <alignment horizontal="left" vertical="top" wrapText="1"/>
    </xf>
    <xf numFmtId="0" fontId="62" fillId="0" borderId="17" xfId="0" applyFont="1" applyBorder="1" applyAlignment="1">
      <alignment horizontal="center"/>
    </xf>
    <xf numFmtId="0" fontId="62" fillId="0" borderId="17" xfId="0" applyFont="1" applyBorder="1" applyAlignment="1">
      <alignment horizontal="left" vertical="center" wrapText="1"/>
    </xf>
    <xf numFmtId="0" fontId="62" fillId="0" borderId="17" xfId="0" applyFont="1" applyBorder="1" applyAlignment="1">
      <alignment horizontal="center" vertical="center" wrapText="1"/>
    </xf>
    <xf numFmtId="0" fontId="62" fillId="0" borderId="17" xfId="0" applyFont="1" applyBorder="1" applyAlignment="1">
      <alignment vertical="center" wrapText="1"/>
    </xf>
    <xf numFmtId="0" fontId="62" fillId="3" borderId="17" xfId="0" applyFont="1" applyFill="1" applyBorder="1" applyAlignment="1">
      <alignment horizontal="center" vertical="center"/>
    </xf>
    <xf numFmtId="0" fontId="65" fillId="0" borderId="17" xfId="0" applyFont="1" applyBorder="1"/>
    <xf numFmtId="0" fontId="62" fillId="0" borderId="1" xfId="0" applyFont="1" applyBorder="1" applyAlignment="1">
      <alignment horizontal="center"/>
    </xf>
    <xf numFmtId="0" fontId="62" fillId="0" borderId="2" xfId="0" applyFont="1" applyBorder="1" applyAlignment="1">
      <alignment horizontal="center"/>
    </xf>
    <xf numFmtId="0" fontId="62" fillId="0" borderId="3" xfId="0" applyFont="1" applyBorder="1" applyAlignment="1">
      <alignment horizontal="center"/>
    </xf>
    <xf numFmtId="0" fontId="62" fillId="0" borderId="1" xfId="0" applyFont="1" applyBorder="1" applyAlignment="1">
      <alignment horizontal="left" vertical="center" wrapText="1"/>
    </xf>
    <xf numFmtId="0" fontId="62" fillId="0" borderId="2" xfId="0" applyFont="1" applyBorder="1" applyAlignment="1">
      <alignment horizontal="left" vertical="center" wrapText="1"/>
    </xf>
    <xf numFmtId="0" fontId="62" fillId="0" borderId="71" xfId="0" applyFont="1" applyBorder="1" applyAlignment="1">
      <alignment horizontal="center" vertical="center" wrapText="1"/>
    </xf>
    <xf numFmtId="0" fontId="62" fillId="0" borderId="2" xfId="0" applyFont="1" applyBorder="1" applyAlignment="1">
      <alignment vertical="center" wrapText="1"/>
    </xf>
    <xf numFmtId="0" fontId="62" fillId="0" borderId="3" xfId="0" applyFont="1" applyBorder="1" applyAlignment="1">
      <alignment vertical="center" wrapText="1"/>
    </xf>
    <xf numFmtId="0" fontId="62" fillId="26" borderId="7" xfId="0" applyFont="1" applyFill="1" applyBorder="1" applyAlignment="1">
      <alignment horizontal="center" vertical="center" wrapText="1"/>
    </xf>
    <xf numFmtId="0" fontId="62" fillId="26" borderId="8" xfId="0" applyFont="1" applyFill="1" applyBorder="1" applyAlignment="1">
      <alignment horizontal="center" vertical="center" wrapText="1"/>
    </xf>
    <xf numFmtId="0" fontId="62" fillId="26" borderId="63" xfId="0" applyFont="1" applyFill="1" applyBorder="1" applyAlignment="1">
      <alignment horizontal="center" vertical="center" wrapText="1"/>
    </xf>
    <xf numFmtId="0" fontId="65" fillId="0" borderId="1" xfId="0" applyFont="1" applyBorder="1" applyAlignment="1">
      <alignment horizontal="center"/>
    </xf>
    <xf numFmtId="0" fontId="65" fillId="0" borderId="2" xfId="0" applyFont="1" applyBorder="1" applyAlignment="1">
      <alignment horizontal="center"/>
    </xf>
    <xf numFmtId="0" fontId="65" fillId="0" borderId="3" xfId="0" applyFont="1" applyBorder="1" applyAlignment="1">
      <alignment horizontal="center"/>
    </xf>
    <xf numFmtId="0" fontId="65" fillId="0" borderId="4" xfId="0" applyFont="1" applyFill="1" applyBorder="1" applyAlignment="1">
      <alignment horizontal="left" vertical="top" wrapText="1"/>
    </xf>
    <xf numFmtId="0" fontId="65" fillId="0" borderId="60" xfId="0" applyFont="1" applyFill="1" applyBorder="1" applyAlignment="1">
      <alignment horizontal="left" vertical="top" wrapText="1"/>
    </xf>
    <xf numFmtId="0" fontId="65" fillId="0" borderId="5" xfId="0" applyFont="1" applyFill="1" applyBorder="1" applyAlignment="1">
      <alignment horizontal="left" vertical="top" wrapText="1"/>
    </xf>
    <xf numFmtId="0" fontId="65" fillId="0" borderId="7" xfId="0" applyFont="1" applyFill="1" applyBorder="1" applyAlignment="1">
      <alignment horizontal="left" vertical="top" wrapText="1"/>
    </xf>
    <xf numFmtId="0" fontId="65" fillId="0" borderId="8" xfId="0" applyFont="1" applyFill="1" applyBorder="1" applyAlignment="1">
      <alignment horizontal="left" vertical="top" wrapText="1"/>
    </xf>
    <xf numFmtId="0" fontId="65" fillId="0" borderId="63" xfId="0" applyFont="1" applyFill="1" applyBorder="1" applyAlignment="1">
      <alignment horizontal="left" vertical="top" wrapText="1"/>
    </xf>
    <xf numFmtId="0" fontId="71" fillId="8" borderId="4" xfId="0" applyFont="1" applyFill="1" applyBorder="1" applyAlignment="1">
      <alignment horizontal="left" vertical="top"/>
    </xf>
    <xf numFmtId="0" fontId="65" fillId="8" borderId="60" xfId="0" applyFont="1" applyFill="1" applyBorder="1" applyAlignment="1">
      <alignment horizontal="left" vertical="top" wrapText="1"/>
    </xf>
    <xf numFmtId="0" fontId="65" fillId="8" borderId="5" xfId="0" applyFont="1" applyFill="1" applyBorder="1" applyAlignment="1">
      <alignment horizontal="left" vertical="top" wrapText="1"/>
    </xf>
    <xf numFmtId="0" fontId="65" fillId="8" borderId="4" xfId="0" applyFont="1" applyFill="1" applyBorder="1" applyAlignment="1">
      <alignment horizontal="left" vertical="center" wrapText="1" indent="1"/>
    </xf>
    <xf numFmtId="0" fontId="65" fillId="8" borderId="60" xfId="0" applyFont="1" applyFill="1" applyBorder="1" applyAlignment="1">
      <alignment horizontal="left" vertical="center" wrapText="1" indent="1"/>
    </xf>
    <xf numFmtId="0" fontId="65" fillId="8" borderId="5" xfId="0" applyFont="1" applyFill="1" applyBorder="1" applyAlignment="1">
      <alignment horizontal="left" vertical="center" wrapText="1" indent="1"/>
    </xf>
    <xf numFmtId="0" fontId="65" fillId="8" borderId="61" xfId="0" applyFont="1" applyFill="1" applyBorder="1" applyAlignment="1">
      <alignment vertical="top" wrapText="1"/>
    </xf>
    <xf numFmtId="0" fontId="65" fillId="8" borderId="0" xfId="0" applyFont="1" applyFill="1" applyBorder="1" applyAlignment="1">
      <alignment vertical="top" wrapText="1"/>
    </xf>
    <xf numFmtId="0" fontId="65" fillId="8" borderId="62" xfId="0" applyFont="1" applyFill="1" applyBorder="1" applyAlignment="1">
      <alignment vertical="top" wrapText="1"/>
    </xf>
    <xf numFmtId="0" fontId="65" fillId="8" borderId="61" xfId="0" applyFont="1" applyFill="1" applyBorder="1" applyAlignment="1">
      <alignment horizontal="left" vertical="center" wrapText="1" indent="1"/>
    </xf>
    <xf numFmtId="0" fontId="65" fillId="8" borderId="0" xfId="0" applyFont="1" applyFill="1" applyBorder="1" applyAlignment="1">
      <alignment horizontal="left" vertical="center" wrapText="1" indent="1"/>
    </xf>
    <xf numFmtId="0" fontId="65" fillId="8" borderId="62" xfId="0" applyFont="1" applyFill="1" applyBorder="1" applyAlignment="1">
      <alignment horizontal="left" vertical="center" wrapText="1" indent="1"/>
    </xf>
    <xf numFmtId="0" fontId="65" fillId="8" borderId="61" xfId="0" applyFont="1" applyFill="1" applyBorder="1" applyAlignment="1">
      <alignment horizontal="left" wrapText="1" indent="1"/>
    </xf>
    <xf numFmtId="0" fontId="65" fillId="8" borderId="0" xfId="0" applyFont="1" applyFill="1" applyBorder="1"/>
    <xf numFmtId="0" fontId="65" fillId="8" borderId="62" xfId="0" applyFont="1" applyFill="1" applyBorder="1"/>
    <xf numFmtId="0" fontId="73" fillId="8" borderId="61" xfId="0" applyFont="1" applyFill="1" applyBorder="1" applyAlignment="1">
      <alignment horizontal="left" vertical="center" wrapText="1"/>
    </xf>
    <xf numFmtId="0" fontId="62" fillId="8" borderId="0" xfId="0" applyFont="1" applyFill="1" applyBorder="1" applyAlignment="1">
      <alignment horizontal="left" vertical="center" wrapText="1"/>
    </xf>
    <xf numFmtId="0" fontId="62" fillId="8" borderId="62" xfId="0" applyFont="1" applyFill="1" applyBorder="1" applyAlignment="1">
      <alignment horizontal="left" vertical="center" wrapText="1"/>
    </xf>
    <xf numFmtId="0" fontId="65" fillId="8" borderId="61" xfId="0" applyFont="1" applyFill="1" applyBorder="1" applyAlignment="1">
      <alignment horizontal="left" vertical="center" wrapText="1" indent="1"/>
    </xf>
    <xf numFmtId="0" fontId="65" fillId="8" borderId="0" xfId="0" applyFont="1" applyFill="1" applyBorder="1" applyAlignment="1">
      <alignment horizontal="left" vertical="center" wrapText="1" indent="1"/>
    </xf>
    <xf numFmtId="0" fontId="65" fillId="8" borderId="62" xfId="0" applyFont="1" applyFill="1" applyBorder="1" applyAlignment="1">
      <alignment horizontal="left" vertical="center" wrapText="1" indent="1"/>
    </xf>
    <xf numFmtId="0" fontId="62" fillId="8" borderId="61" xfId="0" applyFont="1" applyFill="1" applyBorder="1" applyAlignment="1">
      <alignment horizontal="left" wrapText="1"/>
    </xf>
    <xf numFmtId="0" fontId="62" fillId="8" borderId="0" xfId="0" applyFont="1" applyFill="1" applyBorder="1" applyAlignment="1">
      <alignment horizontal="left" wrapText="1"/>
    </xf>
    <xf numFmtId="0" fontId="62" fillId="8" borderId="62" xfId="0" applyFont="1" applyFill="1" applyBorder="1" applyAlignment="1">
      <alignment horizontal="left" wrapText="1"/>
    </xf>
    <xf numFmtId="0" fontId="62" fillId="2" borderId="60" xfId="0" applyFont="1" applyFill="1" applyBorder="1" applyAlignment="1">
      <alignment horizontal="center" vertical="center" wrapText="1"/>
    </xf>
    <xf numFmtId="0" fontId="62" fillId="2" borderId="6" xfId="0" applyFont="1" applyFill="1" applyBorder="1" applyAlignment="1">
      <alignment horizontal="center" vertical="center"/>
    </xf>
    <xf numFmtId="0" fontId="62" fillId="2" borderId="61" xfId="0" applyFont="1" applyFill="1" applyBorder="1" applyAlignment="1">
      <alignment horizontal="center" vertical="center" wrapText="1"/>
    </xf>
    <xf numFmtId="0" fontId="62" fillId="2" borderId="0" xfId="0" applyFont="1" applyFill="1" applyBorder="1" applyAlignment="1">
      <alignment horizontal="center" vertical="center" wrapText="1"/>
    </xf>
    <xf numFmtId="0" fontId="62" fillId="2" borderId="62" xfId="0" applyFont="1" applyFill="1" applyBorder="1" applyAlignment="1">
      <alignment horizontal="center" vertical="center" wrapText="1"/>
    </xf>
    <xf numFmtId="0" fontId="62" fillId="2" borderId="50" xfId="0" applyFont="1" applyFill="1" applyBorder="1" applyAlignment="1">
      <alignment horizontal="center" vertical="center" wrapText="1"/>
    </xf>
    <xf numFmtId="0" fontId="62" fillId="0" borderId="16" xfId="0" applyFont="1" applyBorder="1" applyAlignment="1">
      <alignment horizontal="center" vertical="center" wrapText="1"/>
    </xf>
    <xf numFmtId="0" fontId="62" fillId="0" borderId="17" xfId="0" applyFont="1" applyBorder="1" applyAlignment="1">
      <alignment horizontal="center" vertical="center" wrapText="1"/>
    </xf>
    <xf numFmtId="0" fontId="62" fillId="0" borderId="18" xfId="0" applyFont="1" applyBorder="1" applyAlignment="1">
      <alignment horizontal="center" vertical="center" wrapText="1"/>
    </xf>
    <xf numFmtId="0" fontId="62" fillId="3" borderId="26" xfId="0" applyFont="1" applyFill="1" applyBorder="1" applyAlignment="1">
      <alignment horizontal="center" vertical="center"/>
    </xf>
    <xf numFmtId="0" fontId="62" fillId="3" borderId="69" xfId="0" applyFont="1" applyFill="1" applyBorder="1" applyAlignment="1">
      <alignment horizontal="center" vertical="center"/>
    </xf>
    <xf numFmtId="0" fontId="62" fillId="3" borderId="67" xfId="0" applyFont="1" applyFill="1" applyBorder="1" applyAlignment="1">
      <alignment horizontal="center" vertical="center"/>
    </xf>
    <xf numFmtId="0" fontId="62" fillId="0" borderId="1" xfId="0" applyFont="1" applyFill="1" applyBorder="1" applyAlignment="1">
      <alignment horizontal="center" vertical="center"/>
    </xf>
    <xf numFmtId="0" fontId="62" fillId="0" borderId="2" xfId="0" applyFont="1" applyFill="1" applyBorder="1" applyAlignment="1">
      <alignment horizontal="center" vertical="center"/>
    </xf>
    <xf numFmtId="0" fontId="62" fillId="0" borderId="3" xfId="0" applyFont="1" applyFill="1" applyBorder="1" applyAlignment="1">
      <alignment horizontal="center" vertical="center"/>
    </xf>
    <xf numFmtId="0" fontId="62" fillId="20" borderId="1" xfId="0" applyFont="1" applyFill="1" applyBorder="1" applyAlignment="1">
      <alignment horizontal="center" vertical="center"/>
    </xf>
    <xf numFmtId="0" fontId="62" fillId="20" borderId="2" xfId="0" applyFont="1" applyFill="1" applyBorder="1" applyAlignment="1">
      <alignment horizontal="center" vertical="center"/>
    </xf>
    <xf numFmtId="0" fontId="62" fillId="20" borderId="3" xfId="0" applyFont="1" applyFill="1" applyBorder="1" applyAlignment="1">
      <alignment horizontal="center" vertical="center"/>
    </xf>
    <xf numFmtId="0" fontId="62" fillId="20" borderId="35" xfId="0" applyFont="1" applyFill="1" applyBorder="1" applyAlignment="1">
      <alignment horizontal="center" vertical="center"/>
    </xf>
    <xf numFmtId="0" fontId="62" fillId="0" borderId="10" xfId="0" applyFont="1" applyBorder="1" applyAlignment="1">
      <alignment horizontal="left" vertical="center"/>
    </xf>
    <xf numFmtId="0" fontId="62" fillId="0" borderId="11" xfId="0" applyFont="1" applyBorder="1" applyAlignment="1">
      <alignment horizontal="left" vertical="center"/>
    </xf>
    <xf numFmtId="0" fontId="62" fillId="0" borderId="12" xfId="0" applyFont="1" applyBorder="1" applyAlignment="1">
      <alignment horizontal="left" vertical="center"/>
    </xf>
    <xf numFmtId="4" fontId="62" fillId="0" borderId="36" xfId="0" applyNumberFormat="1" applyFont="1" applyBorder="1" applyAlignment="1">
      <alignment vertical="center"/>
    </xf>
    <xf numFmtId="0" fontId="65" fillId="0" borderId="19" xfId="0" applyFont="1" applyBorder="1" applyAlignment="1">
      <alignment horizontal="left" vertical="center" indent="1"/>
    </xf>
    <xf numFmtId="0" fontId="65" fillId="0" borderId="20" xfId="0" applyFont="1" applyBorder="1" applyAlignment="1">
      <alignment horizontal="left" vertical="center" indent="1"/>
    </xf>
    <xf numFmtId="0" fontId="65" fillId="0" borderId="21" xfId="0" applyFont="1" applyBorder="1" applyAlignment="1">
      <alignment horizontal="left" vertical="center" indent="1"/>
    </xf>
    <xf numFmtId="4" fontId="18" fillId="0" borderId="37" xfId="0" applyNumberFormat="1" applyFont="1" applyBorder="1" applyAlignment="1">
      <alignment vertical="center"/>
    </xf>
    <xf numFmtId="0" fontId="65" fillId="0" borderId="19" xfId="0" applyFont="1" applyBorder="1" applyAlignment="1">
      <alignment horizontal="left" vertical="center"/>
    </xf>
    <xf numFmtId="0" fontId="65" fillId="0" borderId="20" xfId="0" applyFont="1" applyBorder="1" applyAlignment="1">
      <alignment horizontal="left" vertical="center"/>
    </xf>
    <xf numFmtId="0" fontId="65" fillId="0" borderId="21" xfId="0" applyFont="1" applyBorder="1" applyAlignment="1">
      <alignment horizontal="left" vertical="center"/>
    </xf>
    <xf numFmtId="0" fontId="62" fillId="0" borderId="19" xfId="0" applyFont="1" applyBorder="1" applyAlignment="1">
      <alignment horizontal="left" vertical="center"/>
    </xf>
    <xf numFmtId="0" fontId="62" fillId="0" borderId="20" xfId="0" applyFont="1" applyBorder="1" applyAlignment="1">
      <alignment horizontal="left" vertical="center"/>
    </xf>
    <xf numFmtId="0" fontId="62" fillId="0" borderId="21" xfId="0" applyFont="1" applyBorder="1" applyAlignment="1">
      <alignment horizontal="left" vertical="center"/>
    </xf>
    <xf numFmtId="0" fontId="62" fillId="0" borderId="19" xfId="0" applyFont="1" applyBorder="1" applyAlignment="1">
      <alignment horizontal="left" vertical="center" indent="1"/>
    </xf>
    <xf numFmtId="0" fontId="62" fillId="0" borderId="20" xfId="0" applyFont="1" applyBorder="1" applyAlignment="1">
      <alignment horizontal="left" vertical="center" indent="1"/>
    </xf>
    <xf numFmtId="0" fontId="62" fillId="0" borderId="21" xfId="0" applyFont="1" applyBorder="1" applyAlignment="1">
      <alignment horizontal="left" vertical="center" indent="1"/>
    </xf>
    <xf numFmtId="0" fontId="65" fillId="0" borderId="13" xfId="0" applyFont="1" applyBorder="1" applyAlignment="1">
      <alignment horizontal="left" vertical="center" indent="2"/>
    </xf>
    <xf numFmtId="0" fontId="65" fillId="0" borderId="14" xfId="0" applyFont="1" applyBorder="1" applyAlignment="1">
      <alignment horizontal="left" vertical="center" indent="2"/>
    </xf>
    <xf numFmtId="0" fontId="65" fillId="0" borderId="15" xfId="0" applyFont="1" applyBorder="1" applyAlignment="1">
      <alignment horizontal="left" vertical="center" indent="2"/>
    </xf>
    <xf numFmtId="0" fontId="65" fillId="8" borderId="43" xfId="0" applyFont="1" applyFill="1" applyBorder="1" applyAlignment="1">
      <alignment horizontal="left" vertical="center" indent="2"/>
    </xf>
    <xf numFmtId="0" fontId="65" fillId="8" borderId="14" xfId="0" applyFont="1" applyFill="1" applyBorder="1" applyAlignment="1">
      <alignment horizontal="left" vertical="center" indent="2"/>
    </xf>
    <xf numFmtId="4" fontId="65" fillId="8" borderId="44" xfId="0" applyNumberFormat="1" applyFont="1" applyFill="1" applyBorder="1" applyAlignment="1">
      <alignment vertical="center"/>
    </xf>
    <xf numFmtId="0" fontId="65" fillId="8" borderId="75" xfId="0" applyFont="1" applyFill="1" applyBorder="1" applyAlignment="1">
      <alignment horizontal="left" vertical="center" indent="2"/>
    </xf>
    <xf numFmtId="0" fontId="65" fillId="8" borderId="0" xfId="0" applyFont="1" applyFill="1" applyBorder="1" applyAlignment="1">
      <alignment horizontal="left" vertical="center" indent="2"/>
    </xf>
    <xf numFmtId="4" fontId="18" fillId="8" borderId="76" xfId="0" applyNumberFormat="1" applyFont="1" applyFill="1" applyBorder="1" applyAlignment="1">
      <alignment vertical="center"/>
    </xf>
    <xf numFmtId="0" fontId="65" fillId="0" borderId="32" xfId="0" applyFont="1" applyBorder="1" applyAlignment="1">
      <alignment horizontal="left" vertical="center" wrapText="1" indent="2"/>
    </xf>
    <xf numFmtId="0" fontId="65" fillId="0" borderId="74" xfId="0" applyFont="1" applyBorder="1" applyAlignment="1">
      <alignment horizontal="left" vertical="center" wrapText="1" indent="2"/>
    </xf>
    <xf numFmtId="0" fontId="65" fillId="0" borderId="73" xfId="0" applyFont="1" applyBorder="1" applyAlignment="1">
      <alignment horizontal="left" vertical="center" wrapText="1" indent="2"/>
    </xf>
    <xf numFmtId="4" fontId="65" fillId="8" borderId="76" xfId="0" applyNumberFormat="1" applyFont="1" applyFill="1" applyBorder="1" applyAlignment="1">
      <alignment vertical="center"/>
    </xf>
    <xf numFmtId="0" fontId="65" fillId="0" borderId="19" xfId="0" applyFont="1" applyBorder="1" applyAlignment="1">
      <alignment horizontal="left" vertical="center" wrapText="1"/>
    </xf>
    <xf numFmtId="0" fontId="65" fillId="0" borderId="20" xfId="0" applyFont="1" applyBorder="1" applyAlignment="1">
      <alignment horizontal="left" vertical="center" wrapText="1"/>
    </xf>
    <xf numFmtId="0" fontId="65" fillId="0" borderId="21" xfId="0" applyFont="1" applyBorder="1" applyAlignment="1">
      <alignment horizontal="left" vertical="center" wrapText="1"/>
    </xf>
    <xf numFmtId="0" fontId="65" fillId="0" borderId="19" xfId="0" applyFont="1" applyBorder="1" applyAlignment="1">
      <alignment horizontal="left" vertical="center" wrapText="1" indent="1"/>
    </xf>
    <xf numFmtId="0" fontId="65" fillId="0" borderId="20" xfId="0" applyFont="1" applyBorder="1" applyAlignment="1">
      <alignment horizontal="left" vertical="center" wrapText="1" indent="1"/>
    </xf>
    <xf numFmtId="0" fontId="65" fillId="0" borderId="21" xfId="0" applyFont="1" applyBorder="1" applyAlignment="1">
      <alignment horizontal="left" vertical="center" wrapText="1" indent="1"/>
    </xf>
    <xf numFmtId="0" fontId="62" fillId="0" borderId="13" xfId="0" applyFont="1" applyBorder="1" applyAlignment="1">
      <alignment horizontal="left" vertical="center"/>
    </xf>
    <xf numFmtId="0" fontId="62" fillId="0" borderId="14" xfId="0" applyFont="1" applyBorder="1" applyAlignment="1">
      <alignment horizontal="left" vertical="center"/>
    </xf>
    <xf numFmtId="0" fontId="62" fillId="0" borderId="15" xfId="0" applyFont="1" applyBorder="1" applyAlignment="1">
      <alignment horizontal="left" vertical="center"/>
    </xf>
    <xf numFmtId="4" fontId="62" fillId="0" borderId="47" xfId="0" applyNumberFormat="1" applyFont="1" applyBorder="1" applyAlignment="1">
      <alignment horizontal="center" vertical="center"/>
    </xf>
    <xf numFmtId="0" fontId="62" fillId="0" borderId="7" xfId="0" applyFont="1" applyBorder="1" applyAlignment="1">
      <alignment horizontal="left" vertical="center"/>
    </xf>
    <xf numFmtId="0" fontId="62" fillId="0" borderId="8" xfId="0" applyFont="1" applyBorder="1" applyAlignment="1">
      <alignment horizontal="left" vertical="center"/>
    </xf>
    <xf numFmtId="0" fontId="62" fillId="0" borderId="63" xfId="0" applyFont="1" applyBorder="1" applyAlignment="1">
      <alignment horizontal="left" vertical="center"/>
    </xf>
    <xf numFmtId="4" fontId="62" fillId="0" borderId="9" xfId="0" applyNumberFormat="1" applyFont="1" applyBorder="1" applyAlignment="1">
      <alignment horizontal="center" vertical="center"/>
    </xf>
    <xf numFmtId="0" fontId="65" fillId="0" borderId="1" xfId="0" applyFont="1" applyBorder="1" applyAlignment="1">
      <alignment horizontal="center" vertical="center"/>
    </xf>
    <xf numFmtId="0" fontId="65" fillId="0" borderId="2" xfId="0" applyFont="1" applyBorder="1" applyAlignment="1">
      <alignment horizontal="center" vertical="center"/>
    </xf>
    <xf numFmtId="0" fontId="65" fillId="0" borderId="35" xfId="0" applyFont="1" applyBorder="1" applyAlignment="1">
      <alignment horizontal="center" vertical="center"/>
    </xf>
    <xf numFmtId="0" fontId="62" fillId="3" borderId="1" xfId="0" applyFont="1" applyFill="1" applyBorder="1" applyAlignment="1">
      <alignment horizontal="center" vertical="center"/>
    </xf>
    <xf numFmtId="0" fontId="62" fillId="3" borderId="2" xfId="0" applyFont="1" applyFill="1" applyBorder="1" applyAlignment="1">
      <alignment horizontal="center" vertical="center"/>
    </xf>
    <xf numFmtId="0" fontId="62" fillId="3" borderId="3" xfId="0" applyFont="1" applyFill="1" applyBorder="1" applyAlignment="1">
      <alignment horizontal="center" vertical="center"/>
    </xf>
    <xf numFmtId="0" fontId="65" fillId="0" borderId="7" xfId="0" applyFont="1" applyFill="1" applyBorder="1" applyAlignment="1">
      <alignment horizontal="center" vertical="center"/>
    </xf>
    <xf numFmtId="0" fontId="65" fillId="0" borderId="8" xfId="0" applyFont="1" applyFill="1" applyBorder="1" applyAlignment="1">
      <alignment horizontal="center" vertical="center"/>
    </xf>
    <xf numFmtId="0" fontId="65" fillId="0" borderId="50" xfId="0" applyFont="1" applyFill="1" applyBorder="1" applyAlignment="1">
      <alignment horizontal="center" vertical="center"/>
    </xf>
    <xf numFmtId="0" fontId="65" fillId="0" borderId="19" xfId="0" applyFont="1" applyBorder="1" applyAlignment="1">
      <alignment horizontal="left" vertical="center" indent="3"/>
    </xf>
    <xf numFmtId="0" fontId="65" fillId="0" borderId="20" xfId="0" applyFont="1" applyBorder="1" applyAlignment="1">
      <alignment horizontal="left" vertical="center" indent="3"/>
    </xf>
    <xf numFmtId="0" fontId="65" fillId="0" borderId="21" xfId="0" applyFont="1" applyBorder="1" applyAlignment="1">
      <alignment horizontal="left" vertical="center" indent="3"/>
    </xf>
    <xf numFmtId="0" fontId="62" fillId="0" borderId="19" xfId="0" applyFont="1" applyBorder="1" applyAlignment="1">
      <alignment horizontal="left" vertical="center" indent="3"/>
    </xf>
    <xf numFmtId="0" fontId="62" fillId="0" borderId="20" xfId="0" applyFont="1" applyBorder="1" applyAlignment="1">
      <alignment horizontal="left" vertical="center" indent="3"/>
    </xf>
    <xf numFmtId="0" fontId="62" fillId="0" borderId="21" xfId="0" applyFont="1" applyBorder="1" applyAlignment="1">
      <alignment horizontal="left" vertical="center" indent="3"/>
    </xf>
    <xf numFmtId="0" fontId="65" fillId="0" borderId="19" xfId="0" applyFont="1" applyBorder="1" applyAlignment="1">
      <alignment horizontal="left" vertical="center" indent="4"/>
    </xf>
    <xf numFmtId="0" fontId="65" fillId="0" borderId="20" xfId="0" applyFont="1" applyBorder="1" applyAlignment="1">
      <alignment horizontal="left" vertical="center" indent="4"/>
    </xf>
    <xf numFmtId="0" fontId="65" fillId="0" borderId="21" xfId="0" applyFont="1" applyBorder="1" applyAlignment="1">
      <alignment horizontal="left" vertical="center" indent="4"/>
    </xf>
    <xf numFmtId="0" fontId="62" fillId="0" borderId="26" xfId="0" applyFont="1" applyBorder="1" applyAlignment="1">
      <alignment horizontal="left" vertical="center"/>
    </xf>
    <xf numFmtId="0" fontId="62" fillId="0" borderId="69" xfId="0" applyFont="1" applyBorder="1" applyAlignment="1">
      <alignment horizontal="left" vertical="center"/>
    </xf>
    <xf numFmtId="0" fontId="62" fillId="0" borderId="67" xfId="0" applyFont="1" applyBorder="1" applyAlignment="1">
      <alignment horizontal="left" vertical="center"/>
    </xf>
    <xf numFmtId="0" fontId="65" fillId="0" borderId="0" xfId="0" applyFont="1" applyAlignment="1">
      <alignment vertical="center"/>
    </xf>
    <xf numFmtId="0" fontId="65" fillId="0" borderId="4" xfId="0" applyFont="1" applyBorder="1" applyAlignment="1">
      <alignment vertical="center"/>
    </xf>
    <xf numFmtId="0" fontId="65" fillId="0" borderId="60" xfId="0" applyFont="1" applyBorder="1" applyAlignment="1">
      <alignment vertical="center"/>
    </xf>
    <xf numFmtId="0" fontId="65" fillId="0" borderId="5" xfId="0" applyFont="1" applyBorder="1" applyAlignment="1">
      <alignment vertical="center"/>
    </xf>
    <xf numFmtId="0" fontId="65" fillId="0" borderId="61" xfId="0" applyFont="1" applyBorder="1" applyAlignment="1">
      <alignment vertical="center"/>
    </xf>
    <xf numFmtId="0" fontId="64" fillId="0" borderId="0" xfId="0" applyFont="1" applyBorder="1" applyAlignment="1">
      <alignment vertical="center"/>
    </xf>
    <xf numFmtId="0" fontId="65" fillId="0" borderId="0" xfId="0" applyFont="1" applyBorder="1" applyAlignment="1">
      <alignment vertical="center"/>
    </xf>
    <xf numFmtId="0" fontId="65" fillId="0" borderId="62" xfId="0" applyFont="1" applyBorder="1" applyAlignment="1">
      <alignment vertical="center"/>
    </xf>
    <xf numFmtId="0" fontId="65" fillId="3" borderId="17" xfId="0" applyFont="1" applyFill="1" applyBorder="1" applyAlignment="1">
      <alignment horizontal="center" vertical="center"/>
    </xf>
    <xf numFmtId="0" fontId="65" fillId="0" borderId="0" xfId="0" applyFont="1" applyBorder="1" applyAlignment="1">
      <alignment horizontal="left" vertical="center" indent="1"/>
    </xf>
    <xf numFmtId="0" fontId="62" fillId="0" borderId="0" xfId="0" applyFont="1" applyBorder="1" applyAlignment="1">
      <alignment vertical="center"/>
    </xf>
    <xf numFmtId="0" fontId="64" fillId="0" borderId="61" xfId="0" applyFont="1" applyBorder="1" applyAlignment="1">
      <alignment vertical="center"/>
    </xf>
    <xf numFmtId="0" fontId="65" fillId="3" borderId="17" xfId="0" applyFont="1" applyFill="1" applyBorder="1" applyAlignment="1">
      <alignment horizontal="center" vertical="center"/>
    </xf>
    <xf numFmtId="0" fontId="65" fillId="0" borderId="0" xfId="0" quotePrefix="1" applyFont="1" applyBorder="1" applyAlignment="1">
      <alignment vertical="center"/>
    </xf>
    <xf numFmtId="0" fontId="65" fillId="0" borderId="0" xfId="0" applyFont="1" applyBorder="1" applyAlignment="1">
      <alignment horizontal="center" vertical="center"/>
    </xf>
    <xf numFmtId="0" fontId="65" fillId="0" borderId="72" xfId="0" applyFont="1" applyBorder="1" applyAlignment="1">
      <alignment horizontal="center" vertical="center"/>
    </xf>
    <xf numFmtId="3" fontId="65" fillId="3" borderId="17" xfId="0" applyNumberFormat="1" applyFont="1" applyFill="1" applyBorder="1" applyAlignment="1">
      <alignment horizontal="right" vertical="center" indent="1"/>
    </xf>
    <xf numFmtId="4" fontId="65" fillId="3" borderId="17" xfId="0" applyNumberFormat="1" applyFont="1" applyFill="1" applyBorder="1" applyAlignment="1">
      <alignment horizontal="right" vertical="center" indent="1"/>
    </xf>
    <xf numFmtId="0" fontId="62" fillId="3" borderId="25" xfId="0" applyFont="1" applyFill="1" applyBorder="1" applyAlignment="1">
      <alignment horizontal="center" vertical="center"/>
    </xf>
    <xf numFmtId="0" fontId="62" fillId="3" borderId="20" xfId="0" applyFont="1" applyFill="1" applyBorder="1" applyAlignment="1">
      <alignment horizontal="center" vertical="center"/>
    </xf>
    <xf numFmtId="0" fontId="62" fillId="3" borderId="40" xfId="0" applyFont="1" applyFill="1" applyBorder="1" applyAlignment="1">
      <alignment horizontal="center" vertical="center"/>
    </xf>
    <xf numFmtId="0" fontId="62" fillId="3" borderId="17" xfId="0" applyFont="1" applyFill="1" applyBorder="1" applyAlignment="1">
      <alignment horizontal="center" vertical="center" wrapText="1"/>
    </xf>
    <xf numFmtId="0" fontId="62" fillId="0" borderId="0" xfId="0" applyFont="1" applyBorder="1" applyAlignment="1">
      <alignment horizontal="center" vertical="center" wrapText="1"/>
    </xf>
    <xf numFmtId="0" fontId="65" fillId="0" borderId="16" xfId="0" applyFont="1" applyBorder="1" applyAlignment="1">
      <alignment horizontal="left" vertical="center" indent="1"/>
    </xf>
    <xf numFmtId="3" fontId="65" fillId="8" borderId="17" xfId="0" applyNumberFormat="1" applyFont="1" applyFill="1" applyBorder="1" applyAlignment="1">
      <alignment horizontal="center" vertical="center"/>
    </xf>
    <xf numFmtId="4" fontId="65" fillId="0" borderId="17" xfId="0" applyNumberFormat="1" applyFont="1" applyBorder="1" applyAlignment="1">
      <alignment horizontal="right" vertical="center" indent="1"/>
    </xf>
    <xf numFmtId="4" fontId="62" fillId="20" borderId="17" xfId="0" applyNumberFormat="1" applyFont="1" applyFill="1" applyBorder="1" applyAlignment="1">
      <alignment horizontal="right" vertical="center" indent="1"/>
    </xf>
    <xf numFmtId="0" fontId="62" fillId="20" borderId="16" xfId="0" applyFont="1" applyFill="1" applyBorder="1" applyAlignment="1">
      <alignment horizontal="center" vertical="center"/>
    </xf>
    <xf numFmtId="3" fontId="62" fillId="20" borderId="17" xfId="0" applyNumberFormat="1" applyFont="1" applyFill="1" applyBorder="1" applyAlignment="1">
      <alignment horizontal="center" vertical="center"/>
    </xf>
    <xf numFmtId="0" fontId="62" fillId="3" borderId="16" xfId="0" applyFont="1" applyFill="1" applyBorder="1" applyAlignment="1">
      <alignment vertical="center"/>
    </xf>
    <xf numFmtId="4" fontId="65" fillId="8" borderId="25" xfId="0" applyNumberFormat="1" applyFont="1" applyFill="1" applyBorder="1" applyAlignment="1">
      <alignment horizontal="right" vertical="center" indent="1"/>
    </xf>
    <xf numFmtId="4" fontId="65" fillId="8" borderId="40" xfId="0" applyNumberFormat="1" applyFont="1" applyFill="1" applyBorder="1" applyAlignment="1">
      <alignment horizontal="right" vertical="center" indent="1"/>
    </xf>
    <xf numFmtId="4" fontId="62" fillId="20" borderId="25" xfId="0" applyNumberFormat="1" applyFont="1" applyFill="1" applyBorder="1" applyAlignment="1">
      <alignment horizontal="right" vertical="center" indent="1"/>
    </xf>
    <xf numFmtId="4" fontId="62" fillId="20" borderId="40" xfId="0" applyNumberFormat="1" applyFont="1" applyFill="1" applyBorder="1" applyAlignment="1">
      <alignment horizontal="right" vertical="center" indent="1"/>
    </xf>
    <xf numFmtId="10" fontId="65" fillId="0" borderId="0" xfId="21" applyNumberFormat="1" applyFont="1" applyBorder="1" applyAlignment="1">
      <alignment vertical="center"/>
    </xf>
    <xf numFmtId="0" fontId="65" fillId="0" borderId="7" xfId="0" applyFont="1" applyBorder="1" applyAlignment="1">
      <alignment vertical="center"/>
    </xf>
    <xf numFmtId="0" fontId="65" fillId="0" borderId="8" xfId="0" applyFont="1" applyBorder="1" applyAlignment="1">
      <alignment vertical="center"/>
    </xf>
    <xf numFmtId="0" fontId="65" fillId="0" borderId="63" xfId="0" applyFont="1" applyBorder="1" applyAlignment="1">
      <alignment vertical="center"/>
    </xf>
    <xf numFmtId="0" fontId="65" fillId="0" borderId="0" xfId="0" applyFont="1" applyAlignment="1">
      <alignment horizontal="right" vertical="center"/>
    </xf>
    <xf numFmtId="0" fontId="65" fillId="0" borderId="0" xfId="0" quotePrefix="1" applyFont="1" applyAlignment="1">
      <alignment horizontal="right" vertical="center"/>
    </xf>
    <xf numFmtId="0" fontId="65" fillId="0" borderId="0" xfId="0" applyFont="1" applyBorder="1" applyAlignment="1">
      <alignment horizontal="center"/>
    </xf>
    <xf numFmtId="0" fontId="62" fillId="0" borderId="0" xfId="0" applyFont="1" applyAlignment="1">
      <alignment horizontal="left" vertical="center"/>
    </xf>
    <xf numFmtId="0" fontId="65" fillId="0" borderId="0" xfId="0" quotePrefix="1" applyFont="1" applyAlignment="1">
      <alignment horizontal="left" vertical="center"/>
    </xf>
    <xf numFmtId="4" fontId="62" fillId="8" borderId="18" xfId="0" applyNumberFormat="1" applyFont="1" applyFill="1" applyBorder="1" applyAlignment="1">
      <alignment horizontal="right" vertical="center"/>
    </xf>
    <xf numFmtId="0" fontId="62" fillId="0" borderId="30" xfId="0" applyFont="1" applyBorder="1" applyAlignment="1">
      <alignment vertical="center" wrapText="1"/>
    </xf>
    <xf numFmtId="4" fontId="62" fillId="0" borderId="28" xfId="0" applyNumberFormat="1" applyFont="1" applyBorder="1" applyAlignment="1">
      <alignment vertical="center"/>
    </xf>
    <xf numFmtId="4" fontId="62" fillId="0" borderId="31" xfId="0" applyNumberFormat="1" applyFont="1" applyBorder="1" applyAlignment="1">
      <alignment vertical="center"/>
    </xf>
    <xf numFmtId="0" fontId="65" fillId="0" borderId="22" xfId="0" applyFont="1" applyFill="1" applyBorder="1" applyAlignment="1">
      <alignment vertical="center"/>
    </xf>
    <xf numFmtId="4" fontId="65" fillId="8" borderId="23" xfId="0" applyNumberFormat="1" applyFont="1" applyFill="1" applyBorder="1" applyAlignment="1">
      <alignment vertical="center"/>
    </xf>
    <xf numFmtId="4" fontId="65" fillId="8" borderId="24" xfId="0" applyNumberFormat="1" applyFont="1" applyFill="1" applyBorder="1" applyAlignment="1">
      <alignment vertical="center"/>
    </xf>
    <xf numFmtId="0" fontId="70" fillId="0" borderId="30" xfId="0" applyFont="1" applyFill="1" applyBorder="1" applyAlignment="1">
      <alignment vertical="center"/>
    </xf>
    <xf numFmtId="4" fontId="65" fillId="13" borderId="28" xfId="0" applyNumberFormat="1" applyFont="1" applyFill="1" applyBorder="1" applyAlignment="1">
      <alignment vertical="center"/>
    </xf>
    <xf numFmtId="4" fontId="65" fillId="13" borderId="31" xfId="0" applyNumberFormat="1" applyFont="1" applyFill="1" applyBorder="1" applyAlignment="1">
      <alignment vertical="center"/>
    </xf>
    <xf numFmtId="4" fontId="18" fillId="8" borderId="23" xfId="0" applyNumberFormat="1" applyFont="1" applyFill="1" applyBorder="1" applyAlignment="1">
      <alignment vertical="center"/>
    </xf>
    <xf numFmtId="0" fontId="70" fillId="0" borderId="58" xfId="0" applyFont="1" applyFill="1" applyBorder="1" applyAlignment="1">
      <alignment vertical="center"/>
    </xf>
    <xf numFmtId="4" fontId="65" fillId="13" borderId="59" xfId="0" applyNumberFormat="1" applyFont="1" applyFill="1" applyBorder="1" applyAlignment="1">
      <alignment vertical="center"/>
    </xf>
    <xf numFmtId="4" fontId="65" fillId="13" borderId="49" xfId="0" applyNumberFormat="1" applyFont="1" applyFill="1" applyBorder="1" applyAlignment="1">
      <alignment vertical="center"/>
    </xf>
    <xf numFmtId="0" fontId="18" fillId="8" borderId="16" xfId="0" applyFont="1" applyFill="1" applyBorder="1" applyAlignment="1">
      <alignment horizontal="center"/>
    </xf>
    <xf numFmtId="0" fontId="65" fillId="13" borderId="16" xfId="0" applyFont="1" applyFill="1" applyBorder="1" applyAlignment="1">
      <alignment horizontal="center"/>
    </xf>
    <xf numFmtId="4" fontId="62" fillId="2" borderId="23" xfId="0" applyNumberFormat="1" applyFont="1" applyFill="1" applyBorder="1" applyAlignment="1">
      <alignment horizontal="right" vertical="center"/>
    </xf>
    <xf numFmtId="4" fontId="62" fillId="2" borderId="24" xfId="0" applyNumberFormat="1" applyFont="1" applyFill="1" applyBorder="1" applyAlignment="1">
      <alignment horizontal="right" vertical="center"/>
    </xf>
  </cellXfs>
  <cellStyles count="24">
    <cellStyle name="Hipervínculo" xfId="22" builtinId="8"/>
    <cellStyle name="Millares" xfId="1" builtinId="3"/>
    <cellStyle name="Millares [0] 2" xfId="2"/>
    <cellStyle name="Millares 2" xfId="3"/>
    <cellStyle name="Millares 2 2" xfId="23"/>
    <cellStyle name="Normal" xfId="0" builtinId="0"/>
    <cellStyle name="Normal 2" xfId="4"/>
    <cellStyle name="Normal 2 2" xfId="5"/>
    <cellStyle name="Normal 2 2 2" xfId="6"/>
    <cellStyle name="Normal 2 3" xfId="7"/>
    <cellStyle name="Normal 2 4" xfId="8"/>
    <cellStyle name="Normal 3" xfId="9"/>
    <cellStyle name="Normal 3 2" xfId="10"/>
    <cellStyle name="Normal 4" xfId="11"/>
    <cellStyle name="Normal 4 2" xfId="12"/>
    <cellStyle name="Normal 4 3" xfId="13"/>
    <cellStyle name="Normal 5" xfId="14"/>
    <cellStyle name="Normal 6" xfId="15"/>
    <cellStyle name="Normal 7" xfId="16"/>
    <cellStyle name="Normal 7 2" xfId="17"/>
    <cellStyle name="Normal 8" xfId="18"/>
    <cellStyle name="Normal 9" xfId="19"/>
    <cellStyle name="Porcentual" xfId="21" builtinId="5"/>
    <cellStyle name="Porcentual 2" xfId="20"/>
  </cellStyles>
  <dxfs count="1">
    <dxf>
      <font>
        <condense val="0"/>
        <extend val="0"/>
        <color rgb="FF9C0006"/>
      </font>
      <fill>
        <patternFill>
          <bgColor rgb="FFFFC7CE"/>
        </patternFill>
      </fill>
    </dxf>
  </dxfs>
  <tableStyles count="0" defaultTableStyle="TableStyleMedium9" defaultPivotStyle="PivotStyleLight16"/>
  <colors>
    <mruColors>
      <color rgb="FFFFFF99"/>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67236</xdr:colOff>
      <xdr:row>0</xdr:row>
      <xdr:rowOff>33618</xdr:rowOff>
    </xdr:from>
    <xdr:to>
      <xdr:col>0</xdr:col>
      <xdr:colOff>2057961</xdr:colOff>
      <xdr:row>0</xdr:row>
      <xdr:rowOff>627343</xdr:rowOff>
    </xdr:to>
    <xdr:pic>
      <xdr:nvPicPr>
        <xdr:cNvPr id="2" name="Imagen 1">
          <a:extLst>
            <a:ext uri="{FF2B5EF4-FFF2-40B4-BE49-F238E27FC236}">
              <a16:creationId xmlns:a16="http://schemas.microsoft.com/office/drawing/2014/main" xmlns=""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236" y="33618"/>
          <a:ext cx="1990725" cy="5937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57150</xdr:colOff>
      <xdr:row>0</xdr:row>
      <xdr:rowOff>57150</xdr:rowOff>
    </xdr:from>
    <xdr:to>
      <xdr:col>1</xdr:col>
      <xdr:colOff>733425</xdr:colOff>
      <xdr:row>0</xdr:row>
      <xdr:rowOff>650875</xdr:rowOff>
    </xdr:to>
    <xdr:pic>
      <xdr:nvPicPr>
        <xdr:cNvPr id="2" name="Imagen 1">
          <a:extLst>
            <a:ext uri="{FF2B5EF4-FFF2-40B4-BE49-F238E27FC236}">
              <a16:creationId xmlns:a16="http://schemas.microsoft.com/office/drawing/2014/main" xmlns=""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150" y="57150"/>
          <a:ext cx="1990725" cy="59372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57150</xdr:colOff>
      <xdr:row>0</xdr:row>
      <xdr:rowOff>66675</xdr:rowOff>
    </xdr:from>
    <xdr:to>
      <xdr:col>1</xdr:col>
      <xdr:colOff>295275</xdr:colOff>
      <xdr:row>0</xdr:row>
      <xdr:rowOff>660400</xdr:rowOff>
    </xdr:to>
    <xdr:pic>
      <xdr:nvPicPr>
        <xdr:cNvPr id="2" name="Imagen 1">
          <a:extLst>
            <a:ext uri="{FF2B5EF4-FFF2-40B4-BE49-F238E27FC236}">
              <a16:creationId xmlns:a16="http://schemas.microsoft.com/office/drawing/2014/main" xmlns=""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150" y="66675"/>
          <a:ext cx="1990725" cy="5937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101600</xdr:colOff>
      <xdr:row>0</xdr:row>
      <xdr:rowOff>63500</xdr:rowOff>
    </xdr:from>
    <xdr:to>
      <xdr:col>0</xdr:col>
      <xdr:colOff>2092325</xdr:colOff>
      <xdr:row>0</xdr:row>
      <xdr:rowOff>657225</xdr:rowOff>
    </xdr:to>
    <xdr:pic>
      <xdr:nvPicPr>
        <xdr:cNvPr id="46081" name="Imagen 1">
          <a:extLst>
            <a:ext uri="{FF2B5EF4-FFF2-40B4-BE49-F238E27FC236}">
              <a16:creationId xmlns:a16="http://schemas.microsoft.com/office/drawing/2014/main" xmlns="" id="{00000000-0008-0000-0400-000001B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1600" y="63500"/>
          <a:ext cx="1990725" cy="593725"/>
        </a:xfrm>
        <a:prstGeom prst="rect">
          <a:avLst/>
        </a:prstGeom>
        <a:noFill/>
        <a:ln w="9525">
          <a:noFill/>
          <a:miter lim="800000"/>
          <a:headEnd/>
          <a:tailEnd/>
        </a:ln>
      </xdr:spPr>
    </xdr:pic>
    <xdr:clientData/>
  </xdr:twoCellAnchor>
  <xdr:twoCellAnchor>
    <xdr:from>
      <xdr:col>0</xdr:col>
      <xdr:colOff>95250</xdr:colOff>
      <xdr:row>36</xdr:row>
      <xdr:rowOff>120650</xdr:rowOff>
    </xdr:from>
    <xdr:to>
      <xdr:col>0</xdr:col>
      <xdr:colOff>2085975</xdr:colOff>
      <xdr:row>36</xdr:row>
      <xdr:rowOff>714375</xdr:rowOff>
    </xdr:to>
    <xdr:pic>
      <xdr:nvPicPr>
        <xdr:cNvPr id="3" name="Imagen 1">
          <a:extLst>
            <a:ext uri="{FF2B5EF4-FFF2-40B4-BE49-F238E27FC236}">
              <a16:creationId xmlns:a16="http://schemas.microsoft.com/office/drawing/2014/main" xmlns="" id="{00000000-0008-0000-04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0" y="6899275"/>
          <a:ext cx="1990725" cy="5937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95250</xdr:colOff>
      <xdr:row>0</xdr:row>
      <xdr:rowOff>47625</xdr:rowOff>
    </xdr:from>
    <xdr:to>
      <xdr:col>1</xdr:col>
      <xdr:colOff>2085975</xdr:colOff>
      <xdr:row>0</xdr:row>
      <xdr:rowOff>641350</xdr:rowOff>
    </xdr:to>
    <xdr:pic>
      <xdr:nvPicPr>
        <xdr:cNvPr id="2" name="Imagen 1">
          <a:extLst>
            <a:ext uri="{FF2B5EF4-FFF2-40B4-BE49-F238E27FC236}">
              <a16:creationId xmlns:a16="http://schemas.microsoft.com/office/drawing/2014/main" xmlns=""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0" y="47625"/>
          <a:ext cx="1990725" cy="5937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79375</xdr:colOff>
      <xdr:row>0</xdr:row>
      <xdr:rowOff>95250</xdr:rowOff>
    </xdr:from>
    <xdr:to>
      <xdr:col>3</xdr:col>
      <xdr:colOff>1308100</xdr:colOff>
      <xdr:row>0</xdr:row>
      <xdr:rowOff>688975</xdr:rowOff>
    </xdr:to>
    <xdr:pic>
      <xdr:nvPicPr>
        <xdr:cNvPr id="2" name="Imagen 1">
          <a:extLst>
            <a:ext uri="{FF2B5EF4-FFF2-40B4-BE49-F238E27FC236}">
              <a16:creationId xmlns:a16="http://schemas.microsoft.com/office/drawing/2014/main" xmlns=""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375" y="95250"/>
          <a:ext cx="1990725" cy="5937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79375</xdr:colOff>
      <xdr:row>0</xdr:row>
      <xdr:rowOff>95250</xdr:rowOff>
    </xdr:from>
    <xdr:to>
      <xdr:col>1</xdr:col>
      <xdr:colOff>895350</xdr:colOff>
      <xdr:row>0</xdr:row>
      <xdr:rowOff>688975</xdr:rowOff>
    </xdr:to>
    <xdr:pic>
      <xdr:nvPicPr>
        <xdr:cNvPr id="2" name="Imagen 1">
          <a:extLst>
            <a:ext uri="{FF2B5EF4-FFF2-40B4-BE49-F238E27FC236}">
              <a16:creationId xmlns:a16="http://schemas.microsoft.com/office/drawing/2014/main" xmlns=""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375" y="95250"/>
          <a:ext cx="1990725" cy="5937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7</xdr:row>
      <xdr:rowOff>0</xdr:rowOff>
    </xdr:from>
    <xdr:to>
      <xdr:col>4</xdr:col>
      <xdr:colOff>304800</xdr:colOff>
      <xdr:row>8</xdr:row>
      <xdr:rowOff>151467</xdr:rowOff>
    </xdr:to>
    <xdr:sp macro="" textlink="">
      <xdr:nvSpPr>
        <xdr:cNvPr id="45057" name="AutoShape 1" descr="https://correo.guaguas.com/service/home/~/?auth=co&amp;id=1398&amp;part=2.2">
          <a:extLst>
            <a:ext uri="{FF2B5EF4-FFF2-40B4-BE49-F238E27FC236}">
              <a16:creationId xmlns:a16="http://schemas.microsoft.com/office/drawing/2014/main" xmlns="" id="{00000000-0008-0000-0B00-000001B00000}"/>
            </a:ext>
          </a:extLst>
        </xdr:cNvPr>
        <xdr:cNvSpPr>
          <a:spLocks noChangeAspect="1" noChangeArrowheads="1"/>
        </xdr:cNvSpPr>
      </xdr:nvSpPr>
      <xdr:spPr bwMode="auto">
        <a:xfrm>
          <a:off x="762000" y="1143000"/>
          <a:ext cx="304800" cy="304800"/>
        </a:xfrm>
        <a:prstGeom prst="rect">
          <a:avLst/>
        </a:prstGeom>
        <a:noFill/>
      </xdr:spPr>
    </xdr:sp>
    <xdr:clientData/>
  </xdr:twoCellAnchor>
  <xdr:twoCellAnchor>
    <xdr:from>
      <xdr:col>0</xdr:col>
      <xdr:colOff>95250</xdr:colOff>
      <xdr:row>0</xdr:row>
      <xdr:rowOff>95250</xdr:rowOff>
    </xdr:from>
    <xdr:to>
      <xdr:col>0</xdr:col>
      <xdr:colOff>2085975</xdr:colOff>
      <xdr:row>0</xdr:row>
      <xdr:rowOff>688975</xdr:rowOff>
    </xdr:to>
    <xdr:pic>
      <xdr:nvPicPr>
        <xdr:cNvPr id="4" name="Imagen 1">
          <a:extLst>
            <a:ext uri="{FF2B5EF4-FFF2-40B4-BE49-F238E27FC236}">
              <a16:creationId xmlns:a16="http://schemas.microsoft.com/office/drawing/2014/main" xmlns="" id="{00000000-0008-0000-0B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0" y="95250"/>
          <a:ext cx="1990725" cy="5937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95250</xdr:colOff>
      <xdr:row>0</xdr:row>
      <xdr:rowOff>79375</xdr:rowOff>
    </xdr:from>
    <xdr:to>
      <xdr:col>1</xdr:col>
      <xdr:colOff>1069975</xdr:colOff>
      <xdr:row>0</xdr:row>
      <xdr:rowOff>673100</xdr:rowOff>
    </xdr:to>
    <xdr:pic>
      <xdr:nvPicPr>
        <xdr:cNvPr id="2" name="Imagen 1">
          <a:extLst>
            <a:ext uri="{FF2B5EF4-FFF2-40B4-BE49-F238E27FC236}">
              <a16:creationId xmlns:a16="http://schemas.microsoft.com/office/drawing/2014/main" xmlns=""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0" y="79375"/>
          <a:ext cx="1990725" cy="59372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63498</xdr:colOff>
      <xdr:row>0</xdr:row>
      <xdr:rowOff>74081</xdr:rowOff>
    </xdr:from>
    <xdr:to>
      <xdr:col>2</xdr:col>
      <xdr:colOff>530223</xdr:colOff>
      <xdr:row>0</xdr:row>
      <xdr:rowOff>667806</xdr:rowOff>
    </xdr:to>
    <xdr:pic>
      <xdr:nvPicPr>
        <xdr:cNvPr id="2" name="Imagen 1">
          <a:extLst>
            <a:ext uri="{FF2B5EF4-FFF2-40B4-BE49-F238E27FC236}">
              <a16:creationId xmlns:a16="http://schemas.microsoft.com/office/drawing/2014/main" xmlns=""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3498" y="74081"/>
          <a:ext cx="1990725" cy="59372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57150</xdr:colOff>
      <xdr:row>0</xdr:row>
      <xdr:rowOff>57150</xdr:rowOff>
    </xdr:from>
    <xdr:to>
      <xdr:col>1</xdr:col>
      <xdr:colOff>2047875</xdr:colOff>
      <xdr:row>0</xdr:row>
      <xdr:rowOff>650875</xdr:rowOff>
    </xdr:to>
    <xdr:pic>
      <xdr:nvPicPr>
        <xdr:cNvPr id="2" name="Imagen 1">
          <a:extLst>
            <a:ext uri="{FF2B5EF4-FFF2-40B4-BE49-F238E27FC236}">
              <a16:creationId xmlns:a16="http://schemas.microsoft.com/office/drawing/2014/main" xmlns=""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150" y="57150"/>
          <a:ext cx="1990725" cy="593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C3:D9"/>
  <sheetViews>
    <sheetView workbookViewId="0">
      <selection activeCell="D6" sqref="D6"/>
    </sheetView>
  </sheetViews>
  <sheetFormatPr baseColWidth="10" defaultRowHeight="15"/>
  <cols>
    <col min="3" max="3" width="22.42578125" bestFit="1" customWidth="1"/>
    <col min="4" max="4" width="12.7109375" bestFit="1" customWidth="1"/>
  </cols>
  <sheetData>
    <row r="3" spans="3:4">
      <c r="C3" s="216" t="s">
        <v>955</v>
      </c>
      <c r="D3" s="409">
        <f>'1.-2. Balance Ajustado'!C12+'1.-2. Balance Ajustado'!C17</f>
        <v>59536576.328164235</v>
      </c>
    </row>
    <row r="4" spans="3:4">
      <c r="C4" s="216" t="s">
        <v>957</v>
      </c>
      <c r="D4" s="409">
        <f>'5. Anexo inversiones'!G64</f>
        <v>44382637.067999996</v>
      </c>
    </row>
    <row r="5" spans="3:4">
      <c r="C5" s="216" t="s">
        <v>856</v>
      </c>
      <c r="D5" s="409">
        <f>'3. P y G PRESENTACION'!B28</f>
        <v>-5471359.6113461601</v>
      </c>
    </row>
    <row r="7" spans="3:4">
      <c r="C7" s="216" t="s">
        <v>956</v>
      </c>
      <c r="D7" s="409">
        <f>SUM(D3:D6)</f>
        <v>98447853.784818083</v>
      </c>
    </row>
    <row r="8" spans="3:4">
      <c r="D8" s="571">
        <f>D7-D9</f>
        <v>-1643704.6111010909</v>
      </c>
    </row>
    <row r="9" spans="3:4">
      <c r="C9" s="216" t="s">
        <v>956</v>
      </c>
      <c r="D9" s="409">
        <f>'1.-2. Balance Ajustado'!B12+'1.-2. Balance Ajustado'!B17</f>
        <v>100091558.39591917</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tabColor rgb="FF92D050"/>
  </sheetPr>
  <dimension ref="A1:C179"/>
  <sheetViews>
    <sheetView zoomScale="85" zoomScaleNormal="85" workbookViewId="0">
      <selection activeCell="K34" sqref="K34"/>
    </sheetView>
  </sheetViews>
  <sheetFormatPr baseColWidth="10" defaultColWidth="11.42578125" defaultRowHeight="12.75"/>
  <cols>
    <col min="1" max="1" width="83.85546875" style="425" customWidth="1"/>
    <col min="2" max="3" width="18.42578125" style="425" customWidth="1"/>
    <col min="4" max="16384" width="11.42578125" style="425"/>
  </cols>
  <sheetData>
    <row r="1" spans="1:3" ht="60" customHeight="1"/>
    <row r="2" spans="1:3">
      <c r="A2" s="1207" t="s">
        <v>697</v>
      </c>
      <c r="B2" s="1207"/>
      <c r="C2" s="1207"/>
    </row>
    <row r="3" spans="1:3">
      <c r="A3" s="1208" t="s">
        <v>1</v>
      </c>
      <c r="B3" s="1208"/>
      <c r="C3" s="1209" t="s">
        <v>2</v>
      </c>
    </row>
    <row r="4" spans="1:3">
      <c r="A4" s="1210" t="s">
        <v>3</v>
      </c>
      <c r="B4" s="1210"/>
      <c r="C4" s="1211">
        <f>'1.-2. Balance Ajustado'!C4</f>
        <v>2023</v>
      </c>
    </row>
    <row r="5" spans="1:3">
      <c r="A5" s="1212" t="s">
        <v>4</v>
      </c>
      <c r="B5" s="1212"/>
      <c r="C5" s="1212"/>
    </row>
    <row r="6" spans="1:3">
      <c r="A6" s="1212" t="s">
        <v>5</v>
      </c>
      <c r="B6" s="1212"/>
      <c r="C6" s="1212"/>
    </row>
    <row r="7" spans="1:3">
      <c r="A7" s="1213" t="s">
        <v>675</v>
      </c>
      <c r="B7" s="1213"/>
      <c r="C7" s="1213"/>
    </row>
    <row r="8" spans="1:3">
      <c r="A8" s="961" t="s">
        <v>698</v>
      </c>
      <c r="B8" s="961"/>
      <c r="C8" s="961"/>
    </row>
    <row r="9" spans="1:3">
      <c r="A9" s="1214" t="s">
        <v>1075</v>
      </c>
      <c r="B9" s="1080" t="s">
        <v>699</v>
      </c>
      <c r="C9" s="1080"/>
    </row>
    <row r="10" spans="1:3">
      <c r="A10" s="1214"/>
      <c r="B10" s="1215">
        <v>2023</v>
      </c>
      <c r="C10" s="1215" t="s">
        <v>1020</v>
      </c>
    </row>
    <row r="11" spans="1:3">
      <c r="A11" s="1179" t="s">
        <v>700</v>
      </c>
      <c r="B11" s="1180">
        <v>39316993.189856432</v>
      </c>
      <c r="C11" s="1180">
        <v>35154348.349999994</v>
      </c>
    </row>
    <row r="12" spans="1:3">
      <c r="A12" s="1181" t="s">
        <v>701</v>
      </c>
      <c r="B12" s="1182">
        <v>38993572.37882416</v>
      </c>
      <c r="C12" s="1182">
        <v>33473007.764816225</v>
      </c>
    </row>
    <row r="13" spans="1:3">
      <c r="A13" s="1183" t="s">
        <v>702</v>
      </c>
      <c r="B13" s="1184">
        <v>0.99177401971024293</v>
      </c>
      <c r="C13" s="1184">
        <v>0.95217261408335085</v>
      </c>
    </row>
    <row r="14" spans="1:3">
      <c r="A14" s="1181" t="s">
        <v>703</v>
      </c>
      <c r="B14" s="1182">
        <v>323420.81103227346</v>
      </c>
      <c r="C14" s="1182">
        <v>1681340.5851837664</v>
      </c>
    </row>
    <row r="15" spans="1:3">
      <c r="A15" s="1183" t="s">
        <v>704</v>
      </c>
      <c r="B15" s="1184">
        <v>8.225980289757108E-3</v>
      </c>
      <c r="C15" s="1184">
        <v>4.7827385916649104E-2</v>
      </c>
    </row>
    <row r="16" spans="1:3">
      <c r="A16" s="1179" t="s">
        <v>705</v>
      </c>
      <c r="B16" s="1180">
        <v>4657362.7009062031</v>
      </c>
      <c r="C16" s="1185">
        <v>16307325.040362563</v>
      </c>
    </row>
    <row r="17" spans="1:3">
      <c r="A17" s="1179" t="s">
        <v>706</v>
      </c>
      <c r="B17" s="1180">
        <v>11554496.74923194</v>
      </c>
      <c r="C17" s="1180">
        <v>10934404</v>
      </c>
    </row>
    <row r="18" spans="1:3">
      <c r="A18" s="1181" t="s">
        <v>707</v>
      </c>
      <c r="B18" s="1186">
        <v>10588359.25112397</v>
      </c>
      <c r="C18" s="1186">
        <v>10020116</v>
      </c>
    </row>
    <row r="19" spans="1:3">
      <c r="A19" s="1181" t="s">
        <v>708</v>
      </c>
      <c r="B19" s="1186">
        <v>966137.49810796941</v>
      </c>
      <c r="C19" s="1186">
        <v>914288</v>
      </c>
    </row>
    <row r="20" spans="1:3">
      <c r="A20" s="1179" t="s">
        <v>709</v>
      </c>
      <c r="B20" s="1185">
        <v>0.11845673646548784</v>
      </c>
      <c r="C20" s="1185">
        <v>0.46387789294244069</v>
      </c>
    </row>
    <row r="21" spans="1:3">
      <c r="A21" s="1179" t="s">
        <v>710</v>
      </c>
      <c r="B21" s="1180">
        <v>34485409.230906203</v>
      </c>
      <c r="C21" s="1180">
        <v>31743299.150362562</v>
      </c>
    </row>
    <row r="22" spans="1:3">
      <c r="A22" s="1179" t="s">
        <v>711</v>
      </c>
      <c r="B22" s="1185">
        <v>0.87711206867678904</v>
      </c>
      <c r="C22" s="1185">
        <v>0.90296935202221063</v>
      </c>
    </row>
    <row r="23" spans="1:3">
      <c r="A23" s="1179" t="s">
        <v>712</v>
      </c>
      <c r="B23" s="1185">
        <v>3.402743887782905</v>
      </c>
      <c r="C23" s="1185">
        <v>3.2150219024283349</v>
      </c>
    </row>
    <row r="24" spans="1:3">
      <c r="A24" s="1187" t="s">
        <v>713</v>
      </c>
      <c r="B24" s="1188">
        <v>3.7132281080926561</v>
      </c>
      <c r="C24" s="1188">
        <v>3.5083773830562435</v>
      </c>
    </row>
    <row r="25" spans="1:3">
      <c r="A25" s="1181"/>
      <c r="B25" s="1188"/>
      <c r="C25" s="1188"/>
    </row>
    <row r="26" spans="1:3">
      <c r="A26" s="1179" t="s">
        <v>714</v>
      </c>
      <c r="B26" s="1180">
        <v>-57595588.612982877</v>
      </c>
      <c r="C26" s="1180">
        <v>-50869511.530221373</v>
      </c>
    </row>
    <row r="27" spans="1:3">
      <c r="A27" s="1181" t="s">
        <v>715</v>
      </c>
      <c r="B27" s="1189">
        <v>-55538602.169612184</v>
      </c>
      <c r="C27" s="1189">
        <v>-50432377.200978369</v>
      </c>
    </row>
    <row r="28" spans="1:3">
      <c r="A28" s="1181" t="s">
        <v>716</v>
      </c>
      <c r="B28" s="1189">
        <v>-2056986.4433706906</v>
      </c>
      <c r="C28" s="1189">
        <v>-437134.32924300473</v>
      </c>
    </row>
    <row r="29" spans="1:3">
      <c r="A29" s="1179" t="s">
        <v>717</v>
      </c>
      <c r="B29" s="1185">
        <v>-4.9846903645380678</v>
      </c>
      <c r="C29" s="1185">
        <v>-4.6522436458559033</v>
      </c>
    </row>
    <row r="30" spans="1:3">
      <c r="A30" s="1181" t="s">
        <v>718</v>
      </c>
      <c r="B30" s="1188">
        <v>-4.5678919195553522</v>
      </c>
      <c r="C30" s="1188">
        <v>-4.2632429706949804</v>
      </c>
    </row>
    <row r="31" spans="1:3">
      <c r="A31" s="1181" t="s">
        <v>719</v>
      </c>
      <c r="B31" s="1188">
        <v>-0.41679844498271523</v>
      </c>
      <c r="C31" s="1188">
        <v>-0.38900067516092346</v>
      </c>
    </row>
    <row r="32" spans="1:3">
      <c r="A32" s="1179" t="s">
        <v>720</v>
      </c>
      <c r="B32" s="1185">
        <v>-1.464903186641501</v>
      </c>
      <c r="C32" s="1185">
        <v>-1.4470332666604921</v>
      </c>
    </row>
    <row r="33" spans="1:3">
      <c r="A33" s="1179" t="s">
        <v>721</v>
      </c>
      <c r="B33" s="1185">
        <v>-4.8066656103654184</v>
      </c>
      <c r="C33" s="1185">
        <v>-4.6122657623569028</v>
      </c>
    </row>
    <row r="34" spans="1:3">
      <c r="A34" s="1181" t="s">
        <v>722</v>
      </c>
      <c r="B34" s="1188">
        <v>-4.4047528323511997</v>
      </c>
      <c r="C34" s="1188">
        <v>-4.2266078664776421</v>
      </c>
    </row>
    <row r="35" spans="1:3">
      <c r="A35" s="1181" t="s">
        <v>723</v>
      </c>
      <c r="B35" s="1188">
        <v>-0.40191277801421804</v>
      </c>
      <c r="C35" s="1188">
        <v>-0.38565789587926042</v>
      </c>
    </row>
    <row r="36" spans="1:3">
      <c r="A36" s="1179" t="s">
        <v>724</v>
      </c>
      <c r="B36" s="1185">
        <v>-1.412585186802658</v>
      </c>
      <c r="C36" s="1185">
        <v>-1.4345985509066725</v>
      </c>
    </row>
    <row r="37" spans="1:3">
      <c r="A37" s="1179" t="s">
        <v>725</v>
      </c>
      <c r="B37" s="1190">
        <v>-0.17802475417264921</v>
      </c>
      <c r="C37" s="1190">
        <v>-3.9977883499000472E-2</v>
      </c>
    </row>
    <row r="38" spans="1:3">
      <c r="A38" s="1181" t="s">
        <v>726</v>
      </c>
      <c r="B38" s="1191">
        <v>-0.16313908720415204</v>
      </c>
      <c r="C38" s="1191">
        <v>-3.6635104217337372E-2</v>
      </c>
    </row>
    <row r="39" spans="1:3">
      <c r="A39" s="1181" t="s">
        <v>727</v>
      </c>
      <c r="B39" s="1191">
        <v>-1.4885666968497149E-2</v>
      </c>
      <c r="C39" s="1191">
        <v>-3.3427792816631014E-3</v>
      </c>
    </row>
    <row r="40" spans="1:3">
      <c r="A40" s="1179" t="s">
        <v>728</v>
      </c>
      <c r="B40" s="1190">
        <v>-5.2317999838842756E-2</v>
      </c>
      <c r="C40" s="1190">
        <v>-1.2434715753819535E-2</v>
      </c>
    </row>
    <row r="41" spans="1:3">
      <c r="A41" s="1179" t="s">
        <v>729</v>
      </c>
      <c r="B41" s="1180">
        <v>46</v>
      </c>
      <c r="C41" s="1180">
        <v>44</v>
      </c>
    </row>
    <row r="42" spans="1:3">
      <c r="A42" s="1179" t="s">
        <v>730</v>
      </c>
      <c r="B42" s="1180">
        <v>-1252078.0133257145</v>
      </c>
      <c r="C42" s="1180">
        <v>-1156125.2620504859</v>
      </c>
    </row>
    <row r="43" spans="1:3">
      <c r="A43" s="1181" t="s">
        <v>731</v>
      </c>
      <c r="B43" s="1189">
        <v>-1207360.9167306996</v>
      </c>
      <c r="C43" s="1189">
        <v>-1146190.3909313267</v>
      </c>
    </row>
    <row r="44" spans="1:3">
      <c r="A44" s="1187" t="s">
        <v>732</v>
      </c>
      <c r="B44" s="1189">
        <v>-44717.096595015013</v>
      </c>
      <c r="C44" s="1189">
        <v>-9934.8711191591992</v>
      </c>
    </row>
    <row r="45" spans="1:3">
      <c r="A45" s="1183"/>
      <c r="B45" s="1188"/>
      <c r="C45" s="1188"/>
    </row>
    <row r="46" spans="1:3" ht="26.25" customHeight="1">
      <c r="A46" s="1192" t="s">
        <v>733</v>
      </c>
      <c r="B46" s="1192"/>
      <c r="C46" s="1192"/>
    </row>
    <row r="47" spans="1:3">
      <c r="A47" s="1193" t="s">
        <v>734</v>
      </c>
      <c r="B47" s="1180">
        <v>-61009961.780958347</v>
      </c>
      <c r="C47" s="1180">
        <v>-55364027.964673437</v>
      </c>
    </row>
    <row r="48" spans="1:3">
      <c r="A48" s="1194" t="s">
        <v>735</v>
      </c>
      <c r="B48" s="1180">
        <v>-61009961.780958347</v>
      </c>
      <c r="C48" s="1180">
        <v>-55364027.964673437</v>
      </c>
    </row>
    <row r="49" spans="1:3">
      <c r="A49" s="1195" t="s">
        <v>736</v>
      </c>
      <c r="B49" s="1182">
        <v>-7727076.9695539856</v>
      </c>
      <c r="C49" s="1182">
        <v>-6763753.7828998901</v>
      </c>
    </row>
    <row r="50" spans="1:3">
      <c r="A50" s="1195" t="s">
        <v>737</v>
      </c>
      <c r="B50" s="1182">
        <v>-37209894.210622266</v>
      </c>
      <c r="C50" s="1182">
        <v>-34549400.932158485</v>
      </c>
    </row>
    <row r="51" spans="1:3">
      <c r="A51" s="1195" t="s">
        <v>738</v>
      </c>
      <c r="B51" s="1182">
        <v>-10601630.989435935</v>
      </c>
      <c r="C51" s="1182">
        <v>-9284473.5159200002</v>
      </c>
    </row>
    <row r="52" spans="1:3">
      <c r="A52" s="1195" t="s">
        <v>739</v>
      </c>
      <c r="B52" s="1182">
        <v>-5471359.6113461601</v>
      </c>
      <c r="C52" s="1182">
        <v>-4766399.7336950675</v>
      </c>
    </row>
    <row r="53" spans="1:3" ht="25.5">
      <c r="A53" s="1196" t="s">
        <v>740</v>
      </c>
      <c r="B53" s="1182">
        <v>0</v>
      </c>
      <c r="C53" s="1182">
        <v>0</v>
      </c>
    </row>
    <row r="54" spans="1:3">
      <c r="A54" s="1194" t="s">
        <v>741</v>
      </c>
      <c r="B54" s="1180">
        <v>0</v>
      </c>
      <c r="C54" s="1180">
        <v>0</v>
      </c>
    </row>
    <row r="55" spans="1:3">
      <c r="A55" s="1197"/>
      <c r="B55" s="1188"/>
      <c r="C55" s="1188"/>
    </row>
    <row r="56" spans="1:3">
      <c r="A56" s="1179" t="s">
        <v>742</v>
      </c>
      <c r="B56" s="1180">
        <v>62427574.977601156</v>
      </c>
      <c r="C56" s="1180">
        <v>59184102.567057513</v>
      </c>
    </row>
    <row r="57" spans="1:3">
      <c r="A57" s="1183" t="s">
        <v>743</v>
      </c>
      <c r="B57" s="1182">
        <v>62426088.477601156</v>
      </c>
      <c r="C57" s="1182">
        <v>59167847.637057513</v>
      </c>
    </row>
    <row r="58" spans="1:3">
      <c r="A58" s="1183" t="s">
        <v>744</v>
      </c>
      <c r="B58" s="1182">
        <v>1486.5</v>
      </c>
      <c r="C58" s="1182">
        <v>16254.93</v>
      </c>
    </row>
    <row r="59" spans="1:3">
      <c r="A59" s="1179" t="s">
        <v>745</v>
      </c>
      <c r="B59" s="1185">
        <v>5.4028813484889238</v>
      </c>
      <c r="C59" s="1185">
        <v>5.4126500691814128</v>
      </c>
    </row>
    <row r="60" spans="1:3">
      <c r="A60" s="1181" t="s">
        <v>746</v>
      </c>
      <c r="B60" s="1188">
        <v>4.9511155657039412</v>
      </c>
      <c r="C60" s="1188">
        <v>4.9600674678387389</v>
      </c>
    </row>
    <row r="61" spans="1:3">
      <c r="A61" s="1181" t="s">
        <v>747</v>
      </c>
      <c r="B61" s="1188">
        <v>0.45176578278498231</v>
      </c>
      <c r="C61" s="1188">
        <v>0.45258260134267358</v>
      </c>
    </row>
    <row r="62" spans="1:3">
      <c r="A62" s="1179" t="s">
        <v>748</v>
      </c>
      <c r="B62" s="1185">
        <v>1.5878013528691488</v>
      </c>
      <c r="C62" s="1185">
        <v>1.6835499830011078</v>
      </c>
    </row>
    <row r="63" spans="1:3">
      <c r="A63" s="1179" t="s">
        <v>749</v>
      </c>
      <c r="B63" s="1185">
        <v>5.4027526972778626</v>
      </c>
      <c r="C63" s="1185">
        <v>5.4111634833556099</v>
      </c>
    </row>
    <row r="64" spans="1:3">
      <c r="A64" s="1181" t="s">
        <v>750</v>
      </c>
      <c r="B64" s="1188">
        <v>4.9509976717557773</v>
      </c>
      <c r="C64" s="1188">
        <v>4.9587051839485055</v>
      </c>
    </row>
    <row r="65" spans="1:3">
      <c r="A65" s="1181" t="s">
        <v>751</v>
      </c>
      <c r="B65" s="1188">
        <v>0.45175502552208452</v>
      </c>
      <c r="C65" s="1188">
        <v>0.45245829940710386</v>
      </c>
    </row>
    <row r="66" spans="1:3">
      <c r="A66" s="1179" t="s">
        <v>752</v>
      </c>
      <c r="B66" s="1185">
        <v>1.5877635447897562</v>
      </c>
      <c r="C66" s="1185">
        <v>1.6830875955365994</v>
      </c>
    </row>
    <row r="67" spans="1:3">
      <c r="A67" s="1179" t="s">
        <v>753</v>
      </c>
      <c r="B67" s="1198">
        <v>1.2865121106194537E-4</v>
      </c>
      <c r="C67" s="1198">
        <v>1.4865858258026683E-3</v>
      </c>
    </row>
    <row r="68" spans="1:3">
      <c r="A68" s="1181" t="s">
        <v>754</v>
      </c>
      <c r="B68" s="1199">
        <v>1.1789394816408611E-4</v>
      </c>
      <c r="C68" s="1199">
        <v>1.3622838902329318E-3</v>
      </c>
    </row>
    <row r="69" spans="1:3">
      <c r="A69" s="1181" t="s">
        <v>755</v>
      </c>
      <c r="B69" s="1199">
        <v>1.0757262897859263E-5</v>
      </c>
      <c r="C69" s="1199">
        <v>1.2430193556973659E-4</v>
      </c>
    </row>
    <row r="70" spans="1:3">
      <c r="A70" s="1179" t="s">
        <v>756</v>
      </c>
      <c r="B70" s="1198">
        <v>3.7808079392589685E-5</v>
      </c>
      <c r="C70" s="1198">
        <v>4.6238746450835586E-4</v>
      </c>
    </row>
    <row r="71" spans="1:3">
      <c r="A71" s="1179" t="s">
        <v>757</v>
      </c>
      <c r="B71" s="1180">
        <v>1357121.1951652425</v>
      </c>
      <c r="C71" s="1180">
        <v>1345093.240160398</v>
      </c>
    </row>
    <row r="72" spans="1:3">
      <c r="A72" s="1181" t="s">
        <v>758</v>
      </c>
      <c r="B72" s="1189">
        <v>1357088.8799478512</v>
      </c>
      <c r="C72" s="1189">
        <v>1344723.8099331253</v>
      </c>
    </row>
    <row r="73" spans="1:3">
      <c r="A73" s="1187" t="s">
        <v>759</v>
      </c>
      <c r="B73" s="1188">
        <v>32.315217391304351</v>
      </c>
      <c r="C73" s="1188">
        <v>369.43022727272728</v>
      </c>
    </row>
    <row r="74" spans="1:3">
      <c r="A74" s="1183"/>
      <c r="B74" s="1188"/>
      <c r="C74" s="1188"/>
    </row>
    <row r="75" spans="1:3" ht="14.25">
      <c r="A75" s="1081" t="s">
        <v>1073</v>
      </c>
      <c r="B75" s="1216">
        <v>2023</v>
      </c>
      <c r="C75" s="1215" t="s">
        <v>1020</v>
      </c>
    </row>
    <row r="76" spans="1:3">
      <c r="A76" s="1200" t="s">
        <v>760</v>
      </c>
      <c r="B76" s="1149">
        <v>5130362.374239536</v>
      </c>
      <c r="C76" s="1149">
        <v>16970032.823695894</v>
      </c>
    </row>
    <row r="77" spans="1:3">
      <c r="A77" s="1200" t="s">
        <v>761</v>
      </c>
      <c r="B77" s="1149">
        <v>29828046.530000001</v>
      </c>
      <c r="C77" s="1149">
        <v>15435974.109999999</v>
      </c>
    </row>
    <row r="78" spans="1:3">
      <c r="A78" s="1200" t="s">
        <v>762</v>
      </c>
      <c r="B78" s="1149">
        <v>25577355</v>
      </c>
      <c r="C78" s="1149">
        <v>24489560.879999999</v>
      </c>
    </row>
    <row r="79" spans="1:3">
      <c r="A79" s="1200" t="s">
        <v>763</v>
      </c>
      <c r="B79" s="1149">
        <v>1891811.073361621</v>
      </c>
      <c r="C79" s="1149">
        <v>2288534.7533616209</v>
      </c>
    </row>
    <row r="80" spans="1:3">
      <c r="A80" s="1201" t="s">
        <v>104</v>
      </c>
      <c r="B80" s="1202">
        <v>62427574.977601156</v>
      </c>
      <c r="C80" s="1202">
        <v>59184102.567057513</v>
      </c>
    </row>
    <row r="81" spans="1:3">
      <c r="A81" s="1203"/>
      <c r="B81" s="1203"/>
      <c r="C81" s="1203"/>
    </row>
    <row r="82" spans="1:3">
      <c r="A82" s="1217" t="s">
        <v>764</v>
      </c>
      <c r="B82" s="1204">
        <v>62427574.977601156</v>
      </c>
      <c r="C82" s="1204">
        <v>59184102.567057513</v>
      </c>
    </row>
    <row r="83" spans="1:3">
      <c r="A83" s="1205" t="s">
        <v>765</v>
      </c>
      <c r="B83" s="1182">
        <v>5471359.6113461601</v>
      </c>
      <c r="C83" s="1182">
        <v>4766399.7336950675</v>
      </c>
    </row>
    <row r="84" spans="1:3">
      <c r="A84" s="1205" t="s">
        <v>766</v>
      </c>
      <c r="B84" s="1182">
        <v>0</v>
      </c>
      <c r="C84" s="1182">
        <v>0</v>
      </c>
    </row>
    <row r="85" spans="1:3">
      <c r="A85" s="1206" t="s">
        <v>767</v>
      </c>
      <c r="B85" s="1182">
        <v>0</v>
      </c>
      <c r="C85" s="1182">
        <v>0</v>
      </c>
    </row>
    <row r="86" spans="1:3">
      <c r="A86" s="1217" t="s">
        <v>768</v>
      </c>
      <c r="B86" s="1204">
        <v>67898934.588947311</v>
      </c>
      <c r="C86" s="1204">
        <v>63950502.30075258</v>
      </c>
    </row>
    <row r="87" spans="1:3">
      <c r="A87" s="1072"/>
      <c r="B87" s="1072"/>
      <c r="C87" s="1072"/>
    </row>
    <row r="88" spans="1:3">
      <c r="A88" s="1072"/>
      <c r="B88" s="1072"/>
      <c r="C88" s="1072"/>
    </row>
    <row r="89" spans="1:3">
      <c r="A89" s="1072"/>
      <c r="B89" s="1072"/>
      <c r="C89" s="1072"/>
    </row>
    <row r="90" spans="1:3">
      <c r="A90" s="1072"/>
      <c r="B90" s="1072"/>
      <c r="C90" s="1072"/>
    </row>
    <row r="91" spans="1:3">
      <c r="A91" s="1072"/>
      <c r="B91" s="1072"/>
      <c r="C91" s="1072"/>
    </row>
    <row r="92" spans="1:3">
      <c r="A92" s="1072"/>
      <c r="B92" s="1072"/>
      <c r="C92" s="1072"/>
    </row>
    <row r="93" spans="1:3">
      <c r="A93" s="1072"/>
      <c r="B93" s="1072"/>
      <c r="C93" s="1072"/>
    </row>
    <row r="94" spans="1:3">
      <c r="A94" s="1072"/>
      <c r="B94" s="1072"/>
      <c r="C94" s="1072"/>
    </row>
    <row r="95" spans="1:3">
      <c r="A95" s="1072"/>
      <c r="B95" s="1072"/>
      <c r="C95" s="1072"/>
    </row>
    <row r="96" spans="1:3">
      <c r="A96" s="1072"/>
      <c r="B96" s="1072"/>
      <c r="C96" s="1072"/>
    </row>
    <row r="97" spans="1:3">
      <c r="A97" s="1072"/>
      <c r="B97" s="1072"/>
      <c r="C97" s="1072"/>
    </row>
    <row r="98" spans="1:3">
      <c r="A98" s="1072"/>
      <c r="B98" s="1072"/>
      <c r="C98" s="1072"/>
    </row>
    <row r="99" spans="1:3">
      <c r="A99" s="1072"/>
      <c r="B99" s="1072"/>
      <c r="C99" s="1072"/>
    </row>
    <row r="100" spans="1:3">
      <c r="A100" s="1072"/>
      <c r="B100" s="1072"/>
      <c r="C100" s="1072"/>
    </row>
    <row r="101" spans="1:3">
      <c r="A101" s="1072"/>
      <c r="B101" s="1072"/>
      <c r="C101" s="1072"/>
    </row>
    <row r="102" spans="1:3">
      <c r="A102" s="1072"/>
      <c r="B102" s="1072"/>
      <c r="C102" s="1072"/>
    </row>
    <row r="103" spans="1:3">
      <c r="A103" s="1072"/>
      <c r="B103" s="1072"/>
      <c r="C103" s="1072"/>
    </row>
    <row r="104" spans="1:3">
      <c r="A104" s="1072"/>
      <c r="B104" s="1072"/>
      <c r="C104" s="1072"/>
    </row>
    <row r="105" spans="1:3">
      <c r="A105" s="1072"/>
      <c r="B105" s="1072"/>
      <c r="C105" s="1072"/>
    </row>
    <row r="106" spans="1:3">
      <c r="A106" s="1072"/>
      <c r="B106" s="1072"/>
      <c r="C106" s="1072"/>
    </row>
    <row r="107" spans="1:3">
      <c r="A107" s="1072"/>
      <c r="B107" s="1072"/>
      <c r="C107" s="1072"/>
    </row>
    <row r="108" spans="1:3">
      <c r="A108" s="1072"/>
      <c r="B108" s="1072"/>
      <c r="C108" s="1072"/>
    </row>
    <row r="109" spans="1:3">
      <c r="A109" s="1072"/>
      <c r="B109" s="1072"/>
      <c r="C109" s="1072"/>
    </row>
    <row r="110" spans="1:3">
      <c r="A110" s="1072"/>
      <c r="B110" s="1072"/>
      <c r="C110" s="1072"/>
    </row>
    <row r="111" spans="1:3">
      <c r="A111" s="1072"/>
      <c r="B111" s="1072"/>
      <c r="C111" s="1072"/>
    </row>
    <row r="112" spans="1:3">
      <c r="A112" s="1072"/>
      <c r="B112" s="1072"/>
      <c r="C112" s="1072"/>
    </row>
    <row r="113" spans="1:3">
      <c r="A113" s="1072"/>
      <c r="B113" s="1072"/>
      <c r="C113" s="1072"/>
    </row>
    <row r="114" spans="1:3">
      <c r="A114" s="1072"/>
      <c r="B114" s="1072"/>
      <c r="C114" s="1072"/>
    </row>
    <row r="115" spans="1:3">
      <c r="A115" s="1072"/>
      <c r="B115" s="1072"/>
      <c r="C115" s="1072"/>
    </row>
    <row r="116" spans="1:3">
      <c r="A116" s="1072"/>
      <c r="B116" s="1072"/>
      <c r="C116" s="1072"/>
    </row>
    <row r="117" spans="1:3">
      <c r="A117" s="1072"/>
      <c r="B117" s="1072"/>
      <c r="C117" s="1072"/>
    </row>
    <row r="118" spans="1:3">
      <c r="A118" s="1072"/>
      <c r="B118" s="1072"/>
      <c r="C118" s="1072"/>
    </row>
    <row r="119" spans="1:3">
      <c r="A119" s="1072"/>
      <c r="B119" s="1072"/>
      <c r="C119" s="1072"/>
    </row>
    <row r="120" spans="1:3">
      <c r="A120" s="1072"/>
      <c r="B120" s="1072"/>
      <c r="C120" s="1072"/>
    </row>
    <row r="121" spans="1:3">
      <c r="A121" s="1072"/>
      <c r="B121" s="1072"/>
      <c r="C121" s="1072"/>
    </row>
    <row r="122" spans="1:3">
      <c r="A122" s="1072"/>
      <c r="B122" s="1072"/>
      <c r="C122" s="1072"/>
    </row>
    <row r="123" spans="1:3">
      <c r="A123" s="1072"/>
      <c r="B123" s="1072"/>
      <c r="C123" s="1072"/>
    </row>
    <row r="124" spans="1:3">
      <c r="A124" s="1072"/>
      <c r="B124" s="1072"/>
      <c r="C124" s="1072"/>
    </row>
    <row r="125" spans="1:3">
      <c r="A125" s="1072"/>
      <c r="B125" s="1072"/>
      <c r="C125" s="1072"/>
    </row>
    <row r="126" spans="1:3">
      <c r="A126" s="1072"/>
      <c r="B126" s="1072"/>
      <c r="C126" s="1072"/>
    </row>
    <row r="127" spans="1:3">
      <c r="A127" s="1072"/>
      <c r="B127" s="1072"/>
      <c r="C127" s="1072"/>
    </row>
    <row r="128" spans="1:3">
      <c r="A128" s="1072"/>
      <c r="B128" s="1072"/>
      <c r="C128" s="1072"/>
    </row>
    <row r="129" spans="1:3">
      <c r="A129" s="1072"/>
      <c r="B129" s="1072"/>
      <c r="C129" s="1072"/>
    </row>
    <row r="130" spans="1:3">
      <c r="A130" s="1072"/>
      <c r="B130" s="1072"/>
      <c r="C130" s="1072"/>
    </row>
    <row r="131" spans="1:3">
      <c r="A131" s="1072"/>
      <c r="B131" s="1072"/>
      <c r="C131" s="1072"/>
    </row>
    <row r="132" spans="1:3">
      <c r="A132" s="1072"/>
      <c r="B132" s="1072"/>
      <c r="C132" s="1072"/>
    </row>
    <row r="133" spans="1:3">
      <c r="A133" s="1072"/>
      <c r="B133" s="1072"/>
      <c r="C133" s="1072"/>
    </row>
    <row r="134" spans="1:3">
      <c r="A134" s="1072"/>
      <c r="B134" s="1072"/>
      <c r="C134" s="1072"/>
    </row>
    <row r="135" spans="1:3">
      <c r="A135" s="1072"/>
      <c r="B135" s="1072"/>
      <c r="C135" s="1072"/>
    </row>
    <row r="136" spans="1:3">
      <c r="A136" s="1072"/>
      <c r="B136" s="1072"/>
      <c r="C136" s="1072"/>
    </row>
    <row r="137" spans="1:3">
      <c r="A137" s="1072"/>
      <c r="B137" s="1072"/>
      <c r="C137" s="1072"/>
    </row>
    <row r="138" spans="1:3">
      <c r="A138" s="1072"/>
      <c r="B138" s="1072"/>
      <c r="C138" s="1072"/>
    </row>
    <row r="139" spans="1:3">
      <c r="A139" s="1072"/>
      <c r="B139" s="1072"/>
      <c r="C139" s="1072"/>
    </row>
    <row r="140" spans="1:3">
      <c r="A140" s="1072"/>
      <c r="B140" s="1072"/>
      <c r="C140" s="1072"/>
    </row>
    <row r="141" spans="1:3">
      <c r="A141" s="1072"/>
      <c r="B141" s="1072"/>
      <c r="C141" s="1072"/>
    </row>
    <row r="142" spans="1:3">
      <c r="A142" s="1072"/>
      <c r="B142" s="1072"/>
      <c r="C142" s="1072"/>
    </row>
    <row r="143" spans="1:3">
      <c r="A143" s="1072"/>
      <c r="B143" s="1072"/>
      <c r="C143" s="1072"/>
    </row>
    <row r="144" spans="1:3">
      <c r="A144" s="1072"/>
      <c r="B144" s="1072"/>
      <c r="C144" s="1072"/>
    </row>
    <row r="145" spans="1:3">
      <c r="A145" s="1072"/>
      <c r="B145" s="1072"/>
      <c r="C145" s="1072"/>
    </row>
    <row r="146" spans="1:3">
      <c r="A146" s="1072"/>
      <c r="B146" s="1072"/>
      <c r="C146" s="1072"/>
    </row>
    <row r="147" spans="1:3">
      <c r="A147" s="1072"/>
      <c r="B147" s="1072"/>
      <c r="C147" s="1072"/>
    </row>
    <row r="148" spans="1:3">
      <c r="A148" s="1072"/>
      <c r="B148" s="1072"/>
      <c r="C148" s="1072"/>
    </row>
    <row r="149" spans="1:3">
      <c r="A149" s="1072"/>
      <c r="B149" s="1072"/>
      <c r="C149" s="1072"/>
    </row>
    <row r="150" spans="1:3">
      <c r="A150" s="1072"/>
      <c r="B150" s="1072"/>
      <c r="C150" s="1072"/>
    </row>
    <row r="151" spans="1:3">
      <c r="A151" s="1072"/>
      <c r="B151" s="1072"/>
      <c r="C151" s="1072"/>
    </row>
    <row r="152" spans="1:3">
      <c r="A152" s="1072"/>
      <c r="B152" s="1072"/>
      <c r="C152" s="1072"/>
    </row>
    <row r="153" spans="1:3">
      <c r="A153" s="1072"/>
      <c r="B153" s="1072"/>
      <c r="C153" s="1072"/>
    </row>
    <row r="154" spans="1:3">
      <c r="A154" s="1072"/>
      <c r="B154" s="1072"/>
      <c r="C154" s="1072"/>
    </row>
    <row r="155" spans="1:3">
      <c r="A155" s="1072"/>
      <c r="B155" s="1072"/>
      <c r="C155" s="1072"/>
    </row>
    <row r="156" spans="1:3">
      <c r="A156" s="1072"/>
      <c r="B156" s="1072"/>
      <c r="C156" s="1072"/>
    </row>
    <row r="157" spans="1:3">
      <c r="A157" s="1072"/>
      <c r="B157" s="1072"/>
      <c r="C157" s="1072"/>
    </row>
    <row r="158" spans="1:3">
      <c r="A158" s="1072"/>
      <c r="B158" s="1072"/>
      <c r="C158" s="1072"/>
    </row>
    <row r="159" spans="1:3">
      <c r="A159" s="1072"/>
      <c r="B159" s="1072"/>
      <c r="C159" s="1072"/>
    </row>
    <row r="160" spans="1:3">
      <c r="A160" s="1072"/>
      <c r="B160" s="1072"/>
      <c r="C160" s="1072"/>
    </row>
    <row r="161" spans="1:3">
      <c r="A161" s="1072"/>
      <c r="B161" s="1072"/>
      <c r="C161" s="1072"/>
    </row>
    <row r="162" spans="1:3">
      <c r="A162" s="1072"/>
      <c r="B162" s="1072"/>
      <c r="C162" s="1072"/>
    </row>
    <row r="163" spans="1:3">
      <c r="A163" s="1072"/>
      <c r="B163" s="1072"/>
      <c r="C163" s="1072"/>
    </row>
    <row r="164" spans="1:3">
      <c r="A164" s="1072"/>
      <c r="B164" s="1072"/>
      <c r="C164" s="1072"/>
    </row>
    <row r="165" spans="1:3">
      <c r="A165" s="1072"/>
      <c r="B165" s="1072"/>
      <c r="C165" s="1072"/>
    </row>
    <row r="166" spans="1:3">
      <c r="A166" s="1072"/>
      <c r="B166" s="1072"/>
      <c r="C166" s="1072"/>
    </row>
    <row r="167" spans="1:3">
      <c r="A167" s="1072"/>
      <c r="B167" s="1072"/>
      <c r="C167" s="1072"/>
    </row>
    <row r="168" spans="1:3">
      <c r="A168" s="1072"/>
      <c r="B168" s="1072"/>
      <c r="C168" s="1072"/>
    </row>
    <row r="169" spans="1:3">
      <c r="A169" s="1072"/>
      <c r="B169" s="1072"/>
      <c r="C169" s="1072"/>
    </row>
    <row r="170" spans="1:3">
      <c r="A170" s="1072"/>
      <c r="B170" s="1072"/>
      <c r="C170" s="1072"/>
    </row>
    <row r="171" spans="1:3">
      <c r="A171" s="1072"/>
      <c r="B171" s="1072"/>
      <c r="C171" s="1072"/>
    </row>
    <row r="172" spans="1:3">
      <c r="A172" s="1072"/>
      <c r="B172" s="1072"/>
      <c r="C172" s="1072"/>
    </row>
    <row r="173" spans="1:3">
      <c r="A173" s="1072"/>
      <c r="B173" s="1072"/>
      <c r="C173" s="1072"/>
    </row>
    <row r="174" spans="1:3">
      <c r="A174" s="1072"/>
      <c r="B174" s="1072"/>
      <c r="C174" s="1072"/>
    </row>
    <row r="175" spans="1:3">
      <c r="A175" s="1072"/>
      <c r="B175" s="1072"/>
      <c r="C175" s="1072"/>
    </row>
    <row r="176" spans="1:3">
      <c r="A176" s="1072"/>
      <c r="B176" s="1072"/>
      <c r="C176" s="1072"/>
    </row>
    <row r="177" spans="1:3">
      <c r="A177" s="1072"/>
      <c r="B177" s="1072"/>
      <c r="C177" s="1072"/>
    </row>
    <row r="178" spans="1:3">
      <c r="A178" s="1072"/>
      <c r="B178" s="1072"/>
      <c r="C178" s="1072"/>
    </row>
    <row r="179" spans="1:3">
      <c r="A179" s="1072"/>
      <c r="B179" s="1072"/>
      <c r="C179" s="1072"/>
    </row>
  </sheetData>
  <mergeCells count="11">
    <mergeCell ref="A2:C2"/>
    <mergeCell ref="A3:B3"/>
    <mergeCell ref="A4:B4"/>
    <mergeCell ref="A5:C5"/>
    <mergeCell ref="A6:C6"/>
    <mergeCell ref="A7:C7"/>
    <mergeCell ref="A8:C8"/>
    <mergeCell ref="A9:A10"/>
    <mergeCell ref="B9:C9"/>
    <mergeCell ref="A46:C46"/>
    <mergeCell ref="A81:C81"/>
  </mergeCells>
  <pageMargins left="0.7" right="0.7" top="0.75" bottom="0.75" header="0.3" footer="0.3"/>
  <pageSetup paperSize="9" scale="72" orientation="portrait" r:id="rId1"/>
  <rowBreaks count="1" manualBreakCount="1">
    <brk id="44" max="2" man="1"/>
  </rowBreaks>
  <colBreaks count="1" manualBreakCount="1">
    <brk id="3" max="1048575" man="1"/>
  </colBreaks>
  <drawing r:id="rId2"/>
</worksheet>
</file>

<file path=xl/worksheets/sheet11.xml><?xml version="1.0" encoding="utf-8"?>
<worksheet xmlns="http://schemas.openxmlformats.org/spreadsheetml/2006/main" xmlns:r="http://schemas.openxmlformats.org/officeDocument/2006/relationships">
  <sheetPr>
    <tabColor rgb="FF92D050"/>
    <pageSetUpPr fitToPage="1"/>
  </sheetPr>
  <dimension ref="A1:H26"/>
  <sheetViews>
    <sheetView zoomScaleNormal="100" zoomScaleSheetLayoutView="90" workbookViewId="0">
      <selection activeCell="A2" sqref="A2:H25"/>
    </sheetView>
  </sheetViews>
  <sheetFormatPr baseColWidth="10" defaultColWidth="11.42578125" defaultRowHeight="12.75"/>
  <cols>
    <col min="1" max="1" width="15.28515625" style="425" customWidth="1"/>
    <col min="2" max="2" width="64.42578125" style="425" customWidth="1"/>
    <col min="3" max="6" width="21.42578125" style="425" customWidth="1"/>
    <col min="7" max="8" width="11.140625" style="425" customWidth="1"/>
    <col min="9" max="16384" width="11.42578125" style="425"/>
  </cols>
  <sheetData>
    <row r="1" spans="1:8" ht="60" customHeight="1"/>
    <row r="2" spans="1:8">
      <c r="A2" s="1237" t="s">
        <v>769</v>
      </c>
      <c r="B2" s="1237"/>
      <c r="C2" s="1237"/>
      <c r="D2" s="1237"/>
      <c r="E2" s="1237"/>
      <c r="F2" s="1237"/>
      <c r="G2" s="1237"/>
      <c r="H2" s="1237"/>
    </row>
    <row r="3" spans="1:8">
      <c r="A3" s="1208" t="s">
        <v>1</v>
      </c>
      <c r="B3" s="1208"/>
      <c r="C3" s="1208"/>
      <c r="D3" s="1208"/>
      <c r="E3" s="1208"/>
      <c r="F3" s="1208"/>
      <c r="G3" s="1208"/>
      <c r="H3" s="1209" t="s">
        <v>2</v>
      </c>
    </row>
    <row r="4" spans="1:8">
      <c r="A4" s="1210" t="s">
        <v>275</v>
      </c>
      <c r="B4" s="1210"/>
      <c r="C4" s="1210"/>
      <c r="D4" s="1210"/>
      <c r="E4" s="1210"/>
      <c r="F4" s="1210"/>
      <c r="G4" s="1210"/>
      <c r="H4" s="1211">
        <v>2023</v>
      </c>
    </row>
    <row r="5" spans="1:8">
      <c r="A5" s="1238" t="s">
        <v>4</v>
      </c>
      <c r="B5" s="1238"/>
      <c r="C5" s="1238"/>
      <c r="D5" s="1238"/>
      <c r="E5" s="1238"/>
      <c r="F5" s="1239" t="s">
        <v>673</v>
      </c>
      <c r="G5" s="1239" t="s">
        <v>674</v>
      </c>
      <c r="H5" s="1240"/>
    </row>
    <row r="6" spans="1:8">
      <c r="A6" s="1213" t="s">
        <v>675</v>
      </c>
      <c r="B6" s="1213"/>
      <c r="C6" s="1213"/>
      <c r="D6" s="1213"/>
      <c r="E6" s="1213"/>
      <c r="F6" s="1213"/>
      <c r="G6" s="1213"/>
      <c r="H6" s="1213"/>
    </row>
    <row r="7" spans="1:8">
      <c r="A7" s="1241" t="str">
        <f>"ACTIVIDADES A REALIZAR EN "&amp;H4&amp;" Y SU FINANCIACIÓN"</f>
        <v>ACTIVIDADES A REALIZAR EN 2023 Y SU FINANCIACIÓN</v>
      </c>
      <c r="B7" s="1241"/>
      <c r="C7" s="1241"/>
      <c r="D7" s="1241"/>
      <c r="E7" s="1241"/>
      <c r="F7" s="1241"/>
      <c r="G7" s="1241"/>
      <c r="H7" s="1241"/>
    </row>
    <row r="8" spans="1:8">
      <c r="A8" s="1210" t="s">
        <v>686</v>
      </c>
      <c r="B8" s="1139" t="s">
        <v>687</v>
      </c>
      <c r="C8" s="1140" t="s">
        <v>770</v>
      </c>
      <c r="D8" s="1218" t="s">
        <v>771</v>
      </c>
      <c r="E8" s="1218"/>
      <c r="F8" s="1218"/>
      <c r="G8" s="1218"/>
      <c r="H8" s="1218"/>
    </row>
    <row r="9" spans="1:8">
      <c r="A9" s="1210"/>
      <c r="B9" s="1139"/>
      <c r="C9" s="1140"/>
      <c r="D9" s="1141" t="s">
        <v>772</v>
      </c>
      <c r="E9" s="1141" t="s">
        <v>773</v>
      </c>
      <c r="F9" s="1140" t="s">
        <v>691</v>
      </c>
      <c r="G9" s="1140"/>
      <c r="H9" s="1140"/>
    </row>
    <row r="10" spans="1:8" ht="38.25">
      <c r="A10" s="1210"/>
      <c r="B10" s="1139"/>
      <c r="C10" s="1140"/>
      <c r="D10" s="1141"/>
      <c r="E10" s="1141"/>
      <c r="F10" s="1144" t="s">
        <v>774</v>
      </c>
      <c r="G10" s="1219"/>
      <c r="H10" s="1219"/>
    </row>
    <row r="11" spans="1:8" ht="15" customHeight="1">
      <c r="A11" s="1220"/>
      <c r="B11" s="1221" t="s">
        <v>775</v>
      </c>
      <c r="C11" s="1157">
        <v>62427574.977601156</v>
      </c>
      <c r="D11" s="1157">
        <v>7022173.4476011572</v>
      </c>
      <c r="E11" s="1157">
        <v>23756735.289999999</v>
      </c>
      <c r="F11" s="1157">
        <v>31648666.240000002</v>
      </c>
      <c r="G11" s="1148"/>
      <c r="H11" s="1148"/>
    </row>
    <row r="12" spans="1:8" ht="15" customHeight="1">
      <c r="A12" s="1220"/>
      <c r="B12" s="1222" t="s">
        <v>776</v>
      </c>
      <c r="C12" s="1147">
        <v>4657362.7009062031</v>
      </c>
      <c r="D12" s="1149">
        <v>4657362.7009062031</v>
      </c>
      <c r="E12" s="1149"/>
      <c r="F12" s="1149"/>
      <c r="G12" s="1148"/>
      <c r="H12" s="1148"/>
    </row>
    <row r="13" spans="1:8" ht="15" customHeight="1">
      <c r="A13" s="1220"/>
      <c r="B13" s="1222" t="s">
        <v>777</v>
      </c>
      <c r="C13" s="1147">
        <v>471513.17333333299</v>
      </c>
      <c r="D13" s="1149">
        <v>471513.17333333299</v>
      </c>
      <c r="E13" s="1149"/>
      <c r="F13" s="1149"/>
      <c r="G13" s="1148"/>
      <c r="H13" s="1148"/>
    </row>
    <row r="14" spans="1:8" ht="15" customHeight="1">
      <c r="A14" s="1220"/>
      <c r="B14" s="1222" t="s">
        <v>778</v>
      </c>
      <c r="C14" s="1147">
        <v>1486.5</v>
      </c>
      <c r="D14" s="1149">
        <v>1486.5</v>
      </c>
      <c r="E14" s="1149"/>
      <c r="F14" s="1149"/>
      <c r="G14" s="1148"/>
      <c r="H14" s="1148"/>
    </row>
    <row r="15" spans="1:8" ht="15" customHeight="1">
      <c r="A15" s="1220"/>
      <c r="B15" s="1223" t="s">
        <v>1062</v>
      </c>
      <c r="C15" s="1224">
        <v>29828046.530000001</v>
      </c>
      <c r="D15" s="946"/>
      <c r="E15" s="946">
        <v>3828046.5300000003</v>
      </c>
      <c r="F15" s="946">
        <v>26000000</v>
      </c>
      <c r="G15" s="1148"/>
      <c r="H15" s="1148"/>
    </row>
    <row r="16" spans="1:8" ht="15" customHeight="1">
      <c r="A16" s="1220"/>
      <c r="B16" s="1222" t="s">
        <v>1061</v>
      </c>
      <c r="C16" s="1147">
        <v>25577355</v>
      </c>
      <c r="D16" s="1149"/>
      <c r="E16" s="1149">
        <v>19928688.759999998</v>
      </c>
      <c r="F16" s="1149">
        <v>5648666.2400000002</v>
      </c>
      <c r="G16" s="1148"/>
      <c r="H16" s="1148"/>
    </row>
    <row r="17" spans="1:8" ht="15" customHeight="1">
      <c r="A17" s="1220"/>
      <c r="B17" s="1222" t="s">
        <v>268</v>
      </c>
      <c r="C17" s="1147">
        <v>0</v>
      </c>
      <c r="D17" s="1149"/>
      <c r="E17" s="1149">
        <v>0</v>
      </c>
      <c r="F17" s="1149">
        <v>0</v>
      </c>
      <c r="G17" s="1148"/>
      <c r="H17" s="1148"/>
    </row>
    <row r="18" spans="1:8" ht="15" customHeight="1">
      <c r="A18" s="1220">
        <v>723</v>
      </c>
      <c r="B18" s="1222" t="s">
        <v>779</v>
      </c>
      <c r="C18" s="1147">
        <v>1891811.073361621</v>
      </c>
      <c r="D18" s="1149">
        <v>1891811.073361621</v>
      </c>
      <c r="E18" s="1149"/>
      <c r="F18" s="1149"/>
      <c r="G18" s="1148"/>
      <c r="H18" s="1148"/>
    </row>
    <row r="19" spans="1:8">
      <c r="A19" s="1242"/>
      <c r="B19" s="1242"/>
      <c r="C19" s="1242"/>
      <c r="D19" s="1242"/>
      <c r="E19" s="1242"/>
      <c r="F19" s="1242"/>
      <c r="G19" s="1242"/>
      <c r="H19" s="1242"/>
    </row>
    <row r="20" spans="1:8" ht="15" customHeight="1">
      <c r="A20" s="1225" t="s">
        <v>696</v>
      </c>
      <c r="B20" s="1226"/>
      <c r="C20" s="1226"/>
      <c r="D20" s="1226"/>
      <c r="E20" s="1226"/>
      <c r="F20" s="1226"/>
      <c r="G20" s="1226"/>
      <c r="H20" s="1227"/>
    </row>
    <row r="21" spans="1:8" ht="5.25" hidden="1" customHeight="1">
      <c r="A21" s="1228"/>
      <c r="B21" s="1229"/>
      <c r="C21" s="1229"/>
      <c r="D21" s="1229"/>
      <c r="E21" s="1229"/>
      <c r="F21" s="1229"/>
      <c r="G21" s="1229"/>
      <c r="H21" s="1230"/>
    </row>
    <row r="22" spans="1:8" ht="5.25" hidden="1" customHeight="1">
      <c r="A22" s="1228"/>
      <c r="B22" s="1229"/>
      <c r="C22" s="1229"/>
      <c r="D22" s="1229"/>
      <c r="E22" s="1229"/>
      <c r="F22" s="1229"/>
      <c r="G22" s="1229"/>
      <c r="H22" s="1230"/>
    </row>
    <row r="23" spans="1:8" ht="5.25" hidden="1" customHeight="1">
      <c r="A23" s="1228"/>
      <c r="B23" s="1229"/>
      <c r="C23" s="1229"/>
      <c r="D23" s="1229"/>
      <c r="E23" s="1229"/>
      <c r="F23" s="1229"/>
      <c r="G23" s="1229"/>
      <c r="H23" s="1230"/>
    </row>
    <row r="24" spans="1:8" ht="15" customHeight="1">
      <c r="A24" s="1231" t="s">
        <v>1060</v>
      </c>
      <c r="B24" s="1232"/>
      <c r="C24" s="1232"/>
      <c r="D24" s="1232"/>
      <c r="E24" s="1232"/>
      <c r="F24" s="1232"/>
      <c r="G24" s="1232"/>
      <c r="H24" s="1233"/>
    </row>
    <row r="25" spans="1:8" ht="34.5" customHeight="1">
      <c r="A25" s="1234"/>
      <c r="B25" s="1235"/>
      <c r="C25" s="1235"/>
      <c r="D25" s="1235"/>
      <c r="E25" s="1235"/>
      <c r="F25" s="1235"/>
      <c r="G25" s="1235"/>
      <c r="H25" s="1236"/>
    </row>
    <row r="26" spans="1:8" ht="15">
      <c r="A26" s="564"/>
      <c r="B26" s="564"/>
      <c r="C26" s="564"/>
      <c r="D26" s="564"/>
      <c r="E26" s="564"/>
      <c r="F26" s="564"/>
      <c r="G26" s="564"/>
      <c r="H26" s="564"/>
    </row>
  </sheetData>
  <mergeCells count="14">
    <mergeCell ref="A24:H25"/>
    <mergeCell ref="A8:A10"/>
    <mergeCell ref="B8:B10"/>
    <mergeCell ref="C8:C10"/>
    <mergeCell ref="D8:H8"/>
    <mergeCell ref="D9:D10"/>
    <mergeCell ref="E9:E10"/>
    <mergeCell ref="F9:H9"/>
    <mergeCell ref="A7:H7"/>
    <mergeCell ref="A2:H2"/>
    <mergeCell ref="A3:G3"/>
    <mergeCell ref="A4:G4"/>
    <mergeCell ref="A5:E5"/>
    <mergeCell ref="A6:H6"/>
  </mergeCells>
  <pageMargins left="0.70866141732283472" right="0.70866141732283472" top="0.74803149606299213" bottom="0.74803149606299213" header="0.31496062992125984" footer="0.31496062992125984"/>
  <pageSetup paperSize="9" scale="70" orientation="landscape" r:id="rId1"/>
  <colBreaks count="1" manualBreakCount="1">
    <brk id="8" min="1" max="23" man="1"/>
  </colBreaks>
  <drawing r:id="rId2"/>
</worksheet>
</file>

<file path=xl/worksheets/sheet12.xml><?xml version="1.0" encoding="utf-8"?>
<worksheet xmlns="http://schemas.openxmlformats.org/spreadsheetml/2006/main" xmlns:r="http://schemas.openxmlformats.org/officeDocument/2006/relationships">
  <sheetPr>
    <tabColor rgb="FF92D050"/>
  </sheetPr>
  <dimension ref="A1:I22"/>
  <sheetViews>
    <sheetView zoomScaleNormal="100" zoomScaleSheetLayoutView="70" workbookViewId="0">
      <selection activeCell="J48" sqref="J48"/>
    </sheetView>
  </sheetViews>
  <sheetFormatPr baseColWidth="10" defaultColWidth="11.42578125" defaultRowHeight="12.75"/>
  <cols>
    <col min="1" max="16384" width="11.42578125" style="425"/>
  </cols>
  <sheetData>
    <row r="1" spans="1:9" ht="60" customHeight="1" thickBot="1"/>
    <row r="2" spans="1:9" ht="13.5" thickBot="1">
      <c r="A2" s="1243" t="s">
        <v>780</v>
      </c>
      <c r="B2" s="1244"/>
      <c r="C2" s="1244"/>
      <c r="D2" s="1244"/>
      <c r="E2" s="1244"/>
      <c r="F2" s="1244"/>
      <c r="G2" s="1244"/>
      <c r="H2" s="1244"/>
      <c r="I2" s="1245"/>
    </row>
    <row r="3" spans="1:9">
      <c r="A3" s="1105" t="s">
        <v>1</v>
      </c>
      <c r="B3" s="1106"/>
      <c r="C3" s="1106"/>
      <c r="D3" s="1106"/>
      <c r="E3" s="1106"/>
      <c r="F3" s="1106"/>
      <c r="G3" s="1106"/>
      <c r="H3" s="1106"/>
      <c r="I3" s="868" t="s">
        <v>2</v>
      </c>
    </row>
    <row r="4" spans="1:9" ht="13.5" thickBot="1">
      <c r="A4" s="952" t="s">
        <v>3</v>
      </c>
      <c r="B4" s="953"/>
      <c r="C4" s="953"/>
      <c r="D4" s="953"/>
      <c r="E4" s="953"/>
      <c r="F4" s="953"/>
      <c r="G4" s="953"/>
      <c r="H4" s="953"/>
      <c r="I4" s="914">
        <v>2023</v>
      </c>
    </row>
    <row r="5" spans="1:9" ht="13.5" thickBot="1">
      <c r="A5" s="1246" t="s">
        <v>4</v>
      </c>
      <c r="B5" s="1247"/>
      <c r="C5" s="1247"/>
      <c r="D5" s="1247"/>
      <c r="E5" s="1247"/>
      <c r="F5" s="1247"/>
      <c r="G5" s="1248" t="s">
        <v>673</v>
      </c>
      <c r="H5" s="1249" t="s">
        <v>674</v>
      </c>
      <c r="I5" s="1250"/>
    </row>
    <row r="6" spans="1:9" ht="13.5" thickBot="1">
      <c r="A6" s="1251" t="s">
        <v>675</v>
      </c>
      <c r="B6" s="1252"/>
      <c r="C6" s="1252"/>
      <c r="D6" s="1252"/>
      <c r="E6" s="1252"/>
      <c r="F6" s="1252"/>
      <c r="G6" s="1252"/>
      <c r="H6" s="1252"/>
      <c r="I6" s="1253"/>
    </row>
    <row r="7" spans="1:9" ht="13.5" thickBot="1">
      <c r="A7" s="1254"/>
      <c r="B7" s="1255"/>
      <c r="C7" s="1255"/>
      <c r="D7" s="1255"/>
      <c r="E7" s="1255"/>
      <c r="F7" s="1255"/>
      <c r="G7" s="1255"/>
      <c r="H7" s="1255"/>
      <c r="I7" s="1256"/>
    </row>
    <row r="8" spans="1:9" ht="34.5" customHeight="1" thickBot="1">
      <c r="A8" s="1131" t="str">
        <f>"MEMORIA EXPLICATIVA DEL PROGRAMA DEL EJERCICIO "&amp;I4&amp;" Y DE LAS PRINCIPALES MODIFICACIONES CON RELACIÓN AL EJERCICIO DE "&amp;I4-1&amp;" (1)"</f>
        <v>MEMORIA EXPLICATIVA DEL PROGRAMA DEL EJERCICIO 2023 Y DE LAS PRINCIPALES MODIFICACIONES CON RELACIÓN AL EJERCICIO DE 2022 (1)</v>
      </c>
      <c r="B8" s="1132"/>
      <c r="C8" s="1132"/>
      <c r="D8" s="1132"/>
      <c r="E8" s="1132"/>
      <c r="F8" s="1132"/>
      <c r="G8" s="1132"/>
      <c r="H8" s="1132"/>
      <c r="I8" s="1133"/>
    </row>
    <row r="9" spans="1:9">
      <c r="A9" s="1257" t="str">
        <f>"De forma resumida tenemos que nuestras actuaciones para el próximo ejercicio serán: (un detalle de cada una de ellas se encuentra en el documento MEMORIA PRESUPUESTO EJERCICIO ECONOMICO "&amp;I4&amp;" que acompaña a estas fichas."</f>
        <v>De forma resumida tenemos que nuestras actuaciones para el próximo ejercicio serán: (un detalle de cada una de ellas se encuentra en el documento MEMORIA PRESUPUESTO EJERCICIO ECONOMICO 2023 que acompaña a estas fichas.</v>
      </c>
      <c r="B9" s="1258"/>
      <c r="C9" s="1258"/>
      <c r="D9" s="1258"/>
      <c r="E9" s="1258"/>
      <c r="F9" s="1258"/>
      <c r="G9" s="1258"/>
      <c r="H9" s="1258"/>
      <c r="I9" s="1259"/>
    </row>
    <row r="10" spans="1:9" ht="34.5" customHeight="1" thickBot="1">
      <c r="A10" s="1260"/>
      <c r="B10" s="1261"/>
      <c r="C10" s="1261"/>
      <c r="D10" s="1261"/>
      <c r="E10" s="1261"/>
      <c r="F10" s="1261"/>
      <c r="G10" s="1261"/>
      <c r="H10" s="1261"/>
      <c r="I10" s="1262"/>
    </row>
    <row r="11" spans="1:9" ht="8.25" customHeight="1" thickBot="1">
      <c r="A11" s="1263"/>
      <c r="B11" s="1264"/>
      <c r="C11" s="1264"/>
      <c r="D11" s="1264"/>
      <c r="E11" s="1264"/>
      <c r="F11" s="1264"/>
      <c r="G11" s="1264"/>
      <c r="H11" s="1264"/>
      <c r="I11" s="1265"/>
    </row>
    <row r="12" spans="1:9" ht="144.75" customHeight="1">
      <c r="A12" s="1266" t="s">
        <v>1076</v>
      </c>
      <c r="B12" s="1267"/>
      <c r="C12" s="1267"/>
      <c r="D12" s="1267"/>
      <c r="E12" s="1267"/>
      <c r="F12" s="1267"/>
      <c r="G12" s="1267"/>
      <c r="H12" s="1267"/>
      <c r="I12" s="1268"/>
    </row>
    <row r="13" spans="1:9" ht="8.25" customHeight="1">
      <c r="A13" s="1269"/>
      <c r="B13" s="1270"/>
      <c r="C13" s="1270"/>
      <c r="D13" s="1270"/>
      <c r="E13" s="1270"/>
      <c r="F13" s="1270"/>
      <c r="G13" s="1270"/>
      <c r="H13" s="1270"/>
      <c r="I13" s="1271"/>
    </row>
    <row r="14" spans="1:9" ht="160.5" customHeight="1">
      <c r="A14" s="1272" t="s">
        <v>1077</v>
      </c>
      <c r="B14" s="1273"/>
      <c r="C14" s="1273"/>
      <c r="D14" s="1273"/>
      <c r="E14" s="1273"/>
      <c r="F14" s="1273"/>
      <c r="G14" s="1273"/>
      <c r="H14" s="1273"/>
      <c r="I14" s="1274"/>
    </row>
    <row r="15" spans="1:9" ht="8.25" customHeight="1">
      <c r="A15" s="1275"/>
      <c r="B15" s="1276"/>
      <c r="C15" s="1276"/>
      <c r="D15" s="1276"/>
      <c r="E15" s="1276"/>
      <c r="F15" s="1276"/>
      <c r="G15" s="1276"/>
      <c r="H15" s="1276"/>
      <c r="I15" s="1277"/>
    </row>
    <row r="16" spans="1:9" ht="229.5" customHeight="1">
      <c r="A16" s="1272" t="s">
        <v>1078</v>
      </c>
      <c r="B16" s="1273"/>
      <c r="C16" s="1273"/>
      <c r="D16" s="1273"/>
      <c r="E16" s="1273"/>
      <c r="F16" s="1273"/>
      <c r="G16" s="1273"/>
      <c r="H16" s="1273"/>
      <c r="I16" s="1274"/>
    </row>
    <row r="17" spans="1:9" ht="8.25" customHeight="1">
      <c r="A17" s="1278"/>
      <c r="B17" s="1279"/>
      <c r="C17" s="1279"/>
      <c r="D17" s="1279"/>
      <c r="E17" s="1279"/>
      <c r="F17" s="1279"/>
      <c r="G17" s="1279"/>
      <c r="H17" s="1279"/>
      <c r="I17" s="1280"/>
    </row>
    <row r="18" spans="1:9" ht="177.75" customHeight="1">
      <c r="A18" s="1272" t="s">
        <v>1079</v>
      </c>
      <c r="B18" s="1273"/>
      <c r="C18" s="1273"/>
      <c r="D18" s="1273"/>
      <c r="E18" s="1273"/>
      <c r="F18" s="1273"/>
      <c r="G18" s="1273"/>
      <c r="H18" s="1273"/>
      <c r="I18" s="1274"/>
    </row>
    <row r="19" spans="1:9" ht="8.25" customHeight="1">
      <c r="A19" s="1281"/>
      <c r="B19" s="1282"/>
      <c r="C19" s="1282"/>
      <c r="D19" s="1282"/>
      <c r="E19" s="1282"/>
      <c r="F19" s="1282"/>
      <c r="G19" s="1282"/>
      <c r="H19" s="1282"/>
      <c r="I19" s="1283"/>
    </row>
    <row r="20" spans="1:9" ht="114" customHeight="1">
      <c r="A20" s="1272" t="s">
        <v>1080</v>
      </c>
      <c r="B20" s="1273"/>
      <c r="C20" s="1273"/>
      <c r="D20" s="1273"/>
      <c r="E20" s="1273"/>
      <c r="F20" s="1273"/>
      <c r="G20" s="1273"/>
      <c r="H20" s="1273"/>
      <c r="I20" s="1274"/>
    </row>
    <row r="21" spans="1:9" ht="8.25" customHeight="1">
      <c r="A21" s="1284"/>
      <c r="B21" s="1285"/>
      <c r="C21" s="1285"/>
      <c r="D21" s="1285"/>
      <c r="E21" s="1285"/>
      <c r="F21" s="1285"/>
      <c r="G21" s="1285"/>
      <c r="H21" s="1285"/>
      <c r="I21" s="1286"/>
    </row>
    <row r="22" spans="1:9" ht="83.25" customHeight="1">
      <c r="A22" s="1272" t="s">
        <v>1081</v>
      </c>
      <c r="B22" s="1273"/>
      <c r="C22" s="1273"/>
      <c r="D22" s="1273"/>
      <c r="E22" s="1273"/>
      <c r="F22" s="1273"/>
      <c r="G22" s="1273"/>
      <c r="H22" s="1273"/>
      <c r="I22" s="1274"/>
    </row>
  </sheetData>
  <mergeCells count="17">
    <mergeCell ref="A8:I8"/>
    <mergeCell ref="A9:I10"/>
    <mergeCell ref="A12:I12"/>
    <mergeCell ref="A14:I14"/>
    <mergeCell ref="A15:I15"/>
    <mergeCell ref="A16:I16"/>
    <mergeCell ref="A17:I17"/>
    <mergeCell ref="A18:I18"/>
    <mergeCell ref="A20:I20"/>
    <mergeCell ref="A21:I21"/>
    <mergeCell ref="A22:I22"/>
    <mergeCell ref="A7:I7"/>
    <mergeCell ref="A2:I2"/>
    <mergeCell ref="A3:H3"/>
    <mergeCell ref="A4:H4"/>
    <mergeCell ref="A5:F5"/>
    <mergeCell ref="A6:I6"/>
  </mergeCells>
  <pageMargins left="0.7" right="0.7" top="0.75" bottom="0.75" header="0.3" footer="0.3"/>
  <pageSetup paperSize="9" scale="79" orientation="portrait" r:id="rId1"/>
  <drawing r:id="rId2"/>
</worksheet>
</file>

<file path=xl/worksheets/sheet13.xml><?xml version="1.0" encoding="utf-8"?>
<worksheet xmlns="http://schemas.openxmlformats.org/spreadsheetml/2006/main" xmlns:r="http://schemas.openxmlformats.org/officeDocument/2006/relationships">
  <sheetPr>
    <tabColor rgb="FF92D050"/>
    <pageSetUpPr fitToPage="1"/>
  </sheetPr>
  <dimension ref="A1:R65"/>
  <sheetViews>
    <sheetView showGridLines="0" zoomScaleNormal="100" zoomScaleSheetLayoutView="100" workbookViewId="0">
      <selection activeCell="J4" sqref="J4"/>
    </sheetView>
  </sheetViews>
  <sheetFormatPr baseColWidth="10" defaultColWidth="11.42578125" defaultRowHeight="15" outlineLevelRow="1"/>
  <cols>
    <col min="1" max="1" width="1.7109375" style="564" customWidth="1"/>
    <col min="2" max="2" width="58.7109375" style="564" customWidth="1"/>
    <col min="3" max="5" width="13.7109375" style="564" customWidth="1"/>
    <col min="6" max="6" width="17.28515625" style="564" customWidth="1"/>
    <col min="7" max="7" width="11.85546875" style="564" customWidth="1"/>
    <col min="8" max="8" width="13.7109375" style="564" customWidth="1"/>
    <col min="9" max="9" width="17.42578125" style="564" customWidth="1"/>
    <col min="10" max="10" width="18.7109375" style="564" customWidth="1"/>
    <col min="11" max="11" width="14.140625" style="564" hidden="1" customWidth="1"/>
    <col min="12" max="12" width="11.42578125" style="564" hidden="1" customWidth="1"/>
    <col min="13" max="17" width="11.42578125" style="564"/>
    <col min="18" max="18" width="12.7109375" style="564" bestFit="1" customWidth="1"/>
    <col min="19" max="16384" width="11.42578125" style="564"/>
  </cols>
  <sheetData>
    <row r="1" spans="1:12" ht="60" customHeight="1" thickBot="1">
      <c r="A1" s="660"/>
    </row>
    <row r="2" spans="1:12" ht="21.75" customHeight="1" thickBot="1">
      <c r="A2" s="660"/>
      <c r="B2" s="909" t="s">
        <v>851</v>
      </c>
      <c r="C2" s="910"/>
      <c r="D2" s="910"/>
      <c r="E2" s="910"/>
      <c r="F2" s="910"/>
      <c r="G2" s="910"/>
      <c r="H2" s="910"/>
      <c r="I2" s="910"/>
      <c r="J2" s="911"/>
    </row>
    <row r="3" spans="1:12" ht="19.5" customHeight="1">
      <c r="A3" s="660"/>
      <c r="B3" s="912" t="s">
        <v>1</v>
      </c>
      <c r="C3" s="912"/>
      <c r="D3" s="912"/>
      <c r="E3" s="912"/>
      <c r="F3" s="912"/>
      <c r="G3" s="912"/>
      <c r="H3" s="912"/>
      <c r="I3" s="912"/>
      <c r="J3" s="868" t="s">
        <v>2</v>
      </c>
    </row>
    <row r="4" spans="1:12" ht="21.75" customHeight="1" thickBot="1">
      <c r="A4" s="660"/>
      <c r="B4" s="913" t="s">
        <v>275</v>
      </c>
      <c r="C4" s="913"/>
      <c r="D4" s="913"/>
      <c r="E4" s="913"/>
      <c r="F4" s="913"/>
      <c r="G4" s="913"/>
      <c r="H4" s="913"/>
      <c r="I4" s="913"/>
      <c r="J4" s="914">
        <v>2023</v>
      </c>
    </row>
    <row r="5" spans="1:12" ht="24.75" customHeight="1">
      <c r="A5" s="660"/>
      <c r="B5" s="915" t="s">
        <v>4</v>
      </c>
      <c r="C5" s="916"/>
      <c r="D5" s="916"/>
      <c r="E5" s="916"/>
      <c r="F5" s="916"/>
      <c r="G5" s="916"/>
      <c r="H5" s="916"/>
      <c r="I5" s="916"/>
      <c r="J5" s="917"/>
    </row>
    <row r="6" spans="1:12" ht="19.5" customHeight="1" thickBot="1">
      <c r="A6" s="660"/>
      <c r="B6" s="918" t="s">
        <v>5</v>
      </c>
      <c r="C6" s="919"/>
      <c r="D6" s="919"/>
      <c r="E6" s="919"/>
      <c r="F6" s="919"/>
      <c r="G6" s="919"/>
      <c r="H6" s="919"/>
      <c r="I6" s="919"/>
      <c r="J6" s="920"/>
    </row>
    <row r="7" spans="1:12" ht="22.5" customHeight="1">
      <c r="A7" s="660"/>
      <c r="B7" s="921" t="s">
        <v>852</v>
      </c>
      <c r="C7" s="922"/>
      <c r="D7" s="922"/>
      <c r="E7" s="922"/>
      <c r="F7" s="922"/>
      <c r="G7" s="922"/>
      <c r="H7" s="922"/>
      <c r="I7" s="922"/>
      <c r="J7" s="923"/>
    </row>
    <row r="8" spans="1:12" ht="9" customHeight="1" thickBot="1">
      <c r="A8" s="660"/>
      <c r="B8" s="924"/>
      <c r="C8" s="925"/>
      <c r="D8" s="925"/>
      <c r="E8" s="925"/>
      <c r="F8" s="925"/>
      <c r="G8" s="925"/>
      <c r="H8" s="925"/>
      <c r="I8" s="925" t="s">
        <v>800</v>
      </c>
      <c r="J8" s="926"/>
    </row>
    <row r="9" spans="1:12" ht="6" customHeight="1" thickBot="1">
      <c r="A9" s="660"/>
      <c r="B9" s="927"/>
      <c r="C9" s="927"/>
      <c r="D9" s="927"/>
      <c r="E9" s="927"/>
      <c r="F9" s="927"/>
      <c r="G9" s="927"/>
      <c r="H9" s="927"/>
      <c r="I9" s="927"/>
      <c r="J9" s="927"/>
    </row>
    <row r="10" spans="1:12" ht="14.25" customHeight="1" thickBot="1">
      <c r="A10" s="660"/>
      <c r="B10" s="869" t="s">
        <v>853</v>
      </c>
      <c r="C10" s="870" t="str">
        <f>"Deuda a 31/12/"&amp;J4-1</f>
        <v>Deuda a 31/12/2022</v>
      </c>
      <c r="D10" s="870"/>
      <c r="E10" s="870" t="str">
        <f>"Previsión del ejercicio "&amp;J4</f>
        <v>Previsión del ejercicio 2023</v>
      </c>
      <c r="F10" s="870"/>
      <c r="G10" s="870"/>
      <c r="H10" s="870"/>
      <c r="I10" s="870" t="str">
        <f>"Previsión a 31-12-"&amp;J4</f>
        <v>Previsión a 31-12-2023</v>
      </c>
      <c r="J10" s="870"/>
      <c r="K10" s="856" t="s">
        <v>854</v>
      </c>
      <c r="L10" s="857"/>
    </row>
    <row r="11" spans="1:12" ht="14.25" customHeight="1">
      <c r="A11" s="660"/>
      <c r="B11" s="871"/>
      <c r="C11" s="872" t="s">
        <v>1063</v>
      </c>
      <c r="D11" s="873" t="s">
        <v>855</v>
      </c>
      <c r="E11" s="872" t="s">
        <v>1064</v>
      </c>
      <c r="F11" s="874" t="s">
        <v>856</v>
      </c>
      <c r="G11" s="874"/>
      <c r="H11" s="872" t="s">
        <v>857</v>
      </c>
      <c r="I11" s="873" t="s">
        <v>858</v>
      </c>
      <c r="J11" s="873" t="s">
        <v>855</v>
      </c>
    </row>
    <row r="12" spans="1:12" ht="27" customHeight="1" thickBot="1">
      <c r="A12" s="660"/>
      <c r="B12" s="875"/>
      <c r="C12" s="876"/>
      <c r="D12" s="877"/>
      <c r="E12" s="876"/>
      <c r="F12" s="878" t="s">
        <v>1065</v>
      </c>
      <c r="G12" s="878" t="s">
        <v>1066</v>
      </c>
      <c r="H12" s="876"/>
      <c r="I12" s="877"/>
      <c r="J12" s="877"/>
    </row>
    <row r="13" spans="1:12" ht="15.75" hidden="1" customHeight="1" outlineLevel="1">
      <c r="A13" s="660"/>
      <c r="B13" s="879" t="s">
        <v>859</v>
      </c>
      <c r="C13" s="880">
        <f>SUM(C14:C17)</f>
        <v>0</v>
      </c>
      <c r="D13" s="880">
        <f t="shared" ref="D13:J13" si="0">SUM(D14:D17)</f>
        <v>0</v>
      </c>
      <c r="E13" s="880">
        <f t="shared" si="0"/>
        <v>0</v>
      </c>
      <c r="F13" s="880">
        <f t="shared" si="0"/>
        <v>0</v>
      </c>
      <c r="G13" s="880">
        <f t="shared" si="0"/>
        <v>0</v>
      </c>
      <c r="H13" s="880">
        <f t="shared" si="0"/>
        <v>0</v>
      </c>
      <c r="I13" s="880">
        <f t="shared" si="0"/>
        <v>0</v>
      </c>
      <c r="J13" s="880">
        <f t="shared" si="0"/>
        <v>0</v>
      </c>
    </row>
    <row r="14" spans="1:12" ht="15" hidden="1" customHeight="1" outlineLevel="1">
      <c r="A14" s="660"/>
      <c r="B14" s="881" t="s">
        <v>860</v>
      </c>
      <c r="C14" s="882"/>
      <c r="D14" s="882"/>
      <c r="E14" s="882"/>
      <c r="F14" s="882"/>
      <c r="G14" s="882"/>
      <c r="H14" s="882"/>
      <c r="I14" s="882"/>
      <c r="J14" s="882"/>
    </row>
    <row r="15" spans="1:12" ht="15" hidden="1" customHeight="1" outlineLevel="1">
      <c r="A15" s="660"/>
      <c r="B15" s="881" t="s">
        <v>861</v>
      </c>
      <c r="C15" s="882"/>
      <c r="D15" s="882"/>
      <c r="E15" s="882"/>
      <c r="F15" s="882"/>
      <c r="G15" s="882"/>
      <c r="H15" s="882"/>
      <c r="I15" s="882"/>
      <c r="J15" s="882"/>
    </row>
    <row r="16" spans="1:12" ht="15" hidden="1" customHeight="1" outlineLevel="1">
      <c r="A16" s="660"/>
      <c r="B16" s="881" t="s">
        <v>862</v>
      </c>
      <c r="C16" s="882"/>
      <c r="D16" s="882"/>
      <c r="E16" s="882"/>
      <c r="F16" s="882"/>
      <c r="G16" s="882"/>
      <c r="H16" s="882"/>
      <c r="I16" s="882"/>
      <c r="J16" s="882"/>
    </row>
    <row r="17" spans="1:18" ht="15" hidden="1" customHeight="1" outlineLevel="1">
      <c r="A17" s="660"/>
      <c r="B17" s="881" t="s">
        <v>863</v>
      </c>
      <c r="C17" s="882"/>
      <c r="D17" s="882"/>
      <c r="E17" s="882"/>
      <c r="F17" s="882"/>
      <c r="G17" s="882"/>
      <c r="H17" s="882"/>
      <c r="I17" s="882"/>
      <c r="J17" s="882"/>
    </row>
    <row r="18" spans="1:18" ht="15.75" hidden="1" customHeight="1" outlineLevel="1">
      <c r="A18" s="660"/>
      <c r="B18" s="883"/>
      <c r="C18" s="882"/>
      <c r="D18" s="882"/>
      <c r="E18" s="882"/>
      <c r="F18" s="882"/>
      <c r="G18" s="882"/>
      <c r="H18" s="882"/>
      <c r="I18" s="882"/>
      <c r="J18" s="882"/>
    </row>
    <row r="19" spans="1:18" ht="15.75" customHeight="1" collapsed="1" thickBot="1">
      <c r="A19" s="660"/>
      <c r="B19" s="884" t="s">
        <v>864</v>
      </c>
      <c r="C19" s="885">
        <v>40576059.647040404</v>
      </c>
      <c r="D19" s="885">
        <v>0</v>
      </c>
      <c r="E19" s="886">
        <v>47708500.000000402</v>
      </c>
      <c r="F19" s="886">
        <v>6226523.1925329389</v>
      </c>
      <c r="G19" s="885">
        <v>0</v>
      </c>
      <c r="H19" s="885">
        <v>2056986.4433706906</v>
      </c>
      <c r="I19" s="886">
        <v>82058036.454507872</v>
      </c>
      <c r="J19" s="885">
        <v>0</v>
      </c>
    </row>
    <row r="20" spans="1:18" ht="45" customHeight="1" thickBot="1">
      <c r="A20" s="660"/>
      <c r="B20" s="887" t="s">
        <v>865</v>
      </c>
      <c r="C20" s="885">
        <v>40576059.647040404</v>
      </c>
      <c r="D20" s="885">
        <v>0</v>
      </c>
      <c r="E20" s="886">
        <v>47708500.000000402</v>
      </c>
      <c r="F20" s="886">
        <v>6226523.1925329389</v>
      </c>
      <c r="G20" s="885">
        <v>0</v>
      </c>
      <c r="H20" s="885">
        <v>2056986.4433706906</v>
      </c>
      <c r="I20" s="886">
        <v>82058036.454507872</v>
      </c>
      <c r="J20" s="885">
        <v>0</v>
      </c>
      <c r="K20" s="854" t="s">
        <v>866</v>
      </c>
      <c r="L20" s="855"/>
    </row>
    <row r="21" spans="1:18" ht="15" hidden="1" customHeight="1" outlineLevel="1">
      <c r="A21" s="660"/>
      <c r="B21" s="888" t="s">
        <v>867</v>
      </c>
      <c r="C21" s="882"/>
      <c r="D21" s="882"/>
      <c r="E21" s="882"/>
      <c r="F21" s="882"/>
      <c r="G21" s="882"/>
      <c r="H21" s="882"/>
      <c r="I21" s="889"/>
      <c r="J21" s="882"/>
    </row>
    <row r="22" spans="1:18" ht="15" hidden="1" customHeight="1" outlineLevel="1">
      <c r="A22" s="660"/>
      <c r="B22" s="888" t="s">
        <v>868</v>
      </c>
      <c r="C22" s="882"/>
      <c r="D22" s="882"/>
      <c r="E22" s="882"/>
      <c r="F22" s="882"/>
      <c r="G22" s="882"/>
      <c r="H22" s="882"/>
      <c r="I22" s="889"/>
      <c r="J22" s="882"/>
    </row>
    <row r="23" spans="1:18" collapsed="1">
      <c r="A23" s="660"/>
      <c r="B23" s="890" t="s">
        <v>869</v>
      </c>
      <c r="C23" s="891">
        <v>40576059.647040404</v>
      </c>
      <c r="D23" s="891"/>
      <c r="E23" s="891">
        <v>47708500.000000402</v>
      </c>
      <c r="F23" s="892">
        <v>6226523.1925329389</v>
      </c>
      <c r="G23" s="891"/>
      <c r="H23" s="891">
        <v>2056986.4433706906</v>
      </c>
      <c r="I23" s="891">
        <v>82058036.454507872</v>
      </c>
      <c r="J23" s="882"/>
      <c r="O23" s="571"/>
      <c r="R23" s="566"/>
    </row>
    <row r="24" spans="1:18" ht="14.25" hidden="1" customHeight="1" outlineLevel="1">
      <c r="A24" s="660"/>
      <c r="B24" s="893" t="s">
        <v>870</v>
      </c>
      <c r="C24" s="882"/>
      <c r="D24" s="882"/>
      <c r="E24" s="882"/>
      <c r="F24" s="882"/>
      <c r="G24" s="882"/>
      <c r="H24" s="882"/>
      <c r="I24" s="889"/>
      <c r="J24" s="882"/>
    </row>
    <row r="25" spans="1:18" ht="24" hidden="1" customHeight="1" outlineLevel="1">
      <c r="A25" s="660"/>
      <c r="B25" s="893" t="s">
        <v>871</v>
      </c>
      <c r="C25" s="882"/>
      <c r="D25" s="882"/>
      <c r="E25" s="882"/>
      <c r="F25" s="882"/>
      <c r="G25" s="882"/>
      <c r="H25" s="882"/>
      <c r="I25" s="889"/>
      <c r="J25" s="882"/>
    </row>
    <row r="26" spans="1:18" ht="24" hidden="1" customHeight="1" outlineLevel="1">
      <c r="A26" s="660"/>
      <c r="B26" s="893" t="s">
        <v>872</v>
      </c>
      <c r="C26" s="882"/>
      <c r="D26" s="882"/>
      <c r="E26" s="882"/>
      <c r="F26" s="882"/>
      <c r="G26" s="882"/>
      <c r="H26" s="882"/>
      <c r="I26" s="889"/>
      <c r="J26" s="882"/>
    </row>
    <row r="27" spans="1:18" ht="15.75" hidden="1" customHeight="1" outlineLevel="1">
      <c r="A27" s="660"/>
      <c r="B27" s="894" t="s">
        <v>873</v>
      </c>
      <c r="C27" s="885">
        <v>0</v>
      </c>
      <c r="D27" s="885">
        <v>0</v>
      </c>
      <c r="E27" s="885">
        <v>0</v>
      </c>
      <c r="F27" s="885">
        <v>0</v>
      </c>
      <c r="G27" s="885">
        <v>0</v>
      </c>
      <c r="H27" s="885">
        <v>0</v>
      </c>
      <c r="I27" s="895">
        <v>0</v>
      </c>
      <c r="J27" s="885">
        <v>0</v>
      </c>
    </row>
    <row r="28" spans="1:18" ht="15" hidden="1" customHeight="1" outlineLevel="1">
      <c r="A28" s="660"/>
      <c r="B28" s="881" t="s">
        <v>867</v>
      </c>
      <c r="C28" s="882"/>
      <c r="D28" s="882"/>
      <c r="E28" s="882"/>
      <c r="F28" s="882"/>
      <c r="G28" s="882"/>
      <c r="H28" s="882"/>
      <c r="I28" s="889"/>
      <c r="J28" s="882"/>
    </row>
    <row r="29" spans="1:18" ht="15" hidden="1" customHeight="1" outlineLevel="1">
      <c r="A29" s="660"/>
      <c r="B29" s="881" t="s">
        <v>868</v>
      </c>
      <c r="C29" s="882"/>
      <c r="D29" s="882"/>
      <c r="E29" s="882"/>
      <c r="F29" s="882"/>
      <c r="G29" s="882"/>
      <c r="H29" s="882"/>
      <c r="I29" s="889"/>
      <c r="J29" s="882"/>
    </row>
    <row r="30" spans="1:18" ht="15" hidden="1" customHeight="1" outlineLevel="1">
      <c r="A30" s="660"/>
      <c r="B30" s="893" t="s">
        <v>869</v>
      </c>
      <c r="C30" s="882"/>
      <c r="D30" s="882"/>
      <c r="E30" s="882"/>
      <c r="F30" s="882"/>
      <c r="G30" s="882"/>
      <c r="H30" s="882"/>
      <c r="I30" s="889"/>
      <c r="J30" s="882"/>
    </row>
    <row r="31" spans="1:18" ht="15" hidden="1" customHeight="1" outlineLevel="1">
      <c r="A31" s="660"/>
      <c r="B31" s="893" t="s">
        <v>870</v>
      </c>
      <c r="C31" s="882"/>
      <c r="D31" s="882"/>
      <c r="E31" s="882"/>
      <c r="F31" s="882"/>
      <c r="G31" s="882"/>
      <c r="H31" s="882"/>
      <c r="I31" s="889"/>
      <c r="J31" s="882"/>
    </row>
    <row r="32" spans="1:18" ht="24" hidden="1" customHeight="1" outlineLevel="1">
      <c r="A32" s="660"/>
      <c r="B32" s="893" t="s">
        <v>871</v>
      </c>
      <c r="C32" s="882"/>
      <c r="D32" s="882"/>
      <c r="E32" s="882"/>
      <c r="F32" s="882"/>
      <c r="G32" s="882"/>
      <c r="H32" s="882"/>
      <c r="I32" s="889"/>
      <c r="J32" s="882"/>
    </row>
    <row r="33" spans="1:10" ht="24" hidden="1" customHeight="1" outlineLevel="1">
      <c r="A33" s="660"/>
      <c r="B33" s="893" t="s">
        <v>872</v>
      </c>
      <c r="C33" s="882"/>
      <c r="D33" s="882"/>
      <c r="E33" s="882"/>
      <c r="F33" s="882"/>
      <c r="G33" s="882"/>
      <c r="H33" s="882"/>
      <c r="I33" s="889"/>
      <c r="J33" s="882"/>
    </row>
    <row r="34" spans="1:10" ht="15.75" hidden="1" customHeight="1" outlineLevel="1">
      <c r="A34" s="660"/>
      <c r="B34" s="894" t="s">
        <v>874</v>
      </c>
      <c r="C34" s="896">
        <v>0</v>
      </c>
      <c r="D34" s="896">
        <v>0</v>
      </c>
      <c r="E34" s="896">
        <v>0</v>
      </c>
      <c r="F34" s="896">
        <v>0</v>
      </c>
      <c r="G34" s="896">
        <v>0</v>
      </c>
      <c r="H34" s="896">
        <v>0</v>
      </c>
      <c r="I34" s="897">
        <v>0</v>
      </c>
      <c r="J34" s="896">
        <v>0</v>
      </c>
    </row>
    <row r="35" spans="1:10" ht="15" hidden="1" customHeight="1" outlineLevel="1">
      <c r="A35" s="660"/>
      <c r="B35" s="881" t="s">
        <v>867</v>
      </c>
      <c r="C35" s="882"/>
      <c r="D35" s="882"/>
      <c r="E35" s="882"/>
      <c r="F35" s="882"/>
      <c r="G35" s="882"/>
      <c r="H35" s="882"/>
      <c r="I35" s="889"/>
      <c r="J35" s="882"/>
    </row>
    <row r="36" spans="1:10" ht="15" hidden="1" customHeight="1" outlineLevel="1">
      <c r="A36" s="660"/>
      <c r="B36" s="881" t="s">
        <v>868</v>
      </c>
      <c r="C36" s="882"/>
      <c r="D36" s="882"/>
      <c r="E36" s="882"/>
      <c r="F36" s="882"/>
      <c r="G36" s="882"/>
      <c r="H36" s="882"/>
      <c r="I36" s="889"/>
      <c r="J36" s="882"/>
    </row>
    <row r="37" spans="1:10" ht="15" hidden="1" customHeight="1" outlineLevel="1">
      <c r="A37" s="660"/>
      <c r="B37" s="893" t="s">
        <v>869</v>
      </c>
      <c r="C37" s="882"/>
      <c r="D37" s="882"/>
      <c r="E37" s="882"/>
      <c r="F37" s="882"/>
      <c r="G37" s="882"/>
      <c r="H37" s="882"/>
      <c r="I37" s="889"/>
      <c r="J37" s="882"/>
    </row>
    <row r="38" spans="1:10" ht="15" hidden="1" customHeight="1" outlineLevel="1">
      <c r="A38" s="660"/>
      <c r="B38" s="893" t="s">
        <v>870</v>
      </c>
      <c r="C38" s="882"/>
      <c r="D38" s="882"/>
      <c r="E38" s="882"/>
      <c r="F38" s="882"/>
      <c r="G38" s="882"/>
      <c r="H38" s="882"/>
      <c r="I38" s="889"/>
      <c r="J38" s="882"/>
    </row>
    <row r="39" spans="1:10" ht="24" hidden="1" customHeight="1" outlineLevel="1">
      <c r="A39" s="660"/>
      <c r="B39" s="893" t="s">
        <v>871</v>
      </c>
      <c r="C39" s="882"/>
      <c r="D39" s="882"/>
      <c r="E39" s="882"/>
      <c r="F39" s="882"/>
      <c r="G39" s="882"/>
      <c r="H39" s="882"/>
      <c r="I39" s="889"/>
      <c r="J39" s="882"/>
    </row>
    <row r="40" spans="1:10" ht="24" hidden="1" customHeight="1" outlineLevel="1">
      <c r="A40" s="660"/>
      <c r="B40" s="893" t="s">
        <v>872</v>
      </c>
      <c r="C40" s="882"/>
      <c r="D40" s="882"/>
      <c r="E40" s="882"/>
      <c r="F40" s="882"/>
      <c r="G40" s="882"/>
      <c r="H40" s="882"/>
      <c r="I40" s="889"/>
      <c r="J40" s="882"/>
    </row>
    <row r="41" spans="1:10" ht="15.75" hidden="1" customHeight="1" outlineLevel="1">
      <c r="A41" s="660"/>
      <c r="B41" s="898" t="s">
        <v>875</v>
      </c>
      <c r="C41" s="885">
        <v>0</v>
      </c>
      <c r="D41" s="885">
        <v>0</v>
      </c>
      <c r="E41" s="885">
        <v>0</v>
      </c>
      <c r="F41" s="885">
        <v>0</v>
      </c>
      <c r="G41" s="885">
        <v>0</v>
      </c>
      <c r="H41" s="885">
        <v>0</v>
      </c>
      <c r="I41" s="895">
        <v>0</v>
      </c>
      <c r="J41" s="885">
        <v>0</v>
      </c>
    </row>
    <row r="42" spans="1:10" ht="15.75" hidden="1" customHeight="1" outlineLevel="1">
      <c r="A42" s="660"/>
      <c r="B42" s="898" t="s">
        <v>876</v>
      </c>
      <c r="C42" s="885">
        <v>0</v>
      </c>
      <c r="D42" s="885">
        <v>0</v>
      </c>
      <c r="E42" s="885">
        <v>0</v>
      </c>
      <c r="F42" s="885">
        <v>0</v>
      </c>
      <c r="G42" s="885">
        <v>0</v>
      </c>
      <c r="H42" s="885">
        <v>0</v>
      </c>
      <c r="I42" s="895">
        <v>0</v>
      </c>
      <c r="J42" s="885">
        <v>0</v>
      </c>
    </row>
    <row r="43" spans="1:10" ht="15" hidden="1" customHeight="1" outlineLevel="1">
      <c r="A43" s="660"/>
      <c r="B43" s="893" t="s">
        <v>877</v>
      </c>
      <c r="C43" s="882"/>
      <c r="D43" s="882"/>
      <c r="E43" s="882"/>
      <c r="F43" s="882"/>
      <c r="G43" s="882"/>
      <c r="H43" s="882"/>
      <c r="I43" s="889"/>
      <c r="J43" s="882"/>
    </row>
    <row r="44" spans="1:10" ht="15" hidden="1" customHeight="1" outlineLevel="1">
      <c r="A44" s="660"/>
      <c r="B44" s="893" t="s">
        <v>878</v>
      </c>
      <c r="C44" s="882"/>
      <c r="D44" s="882"/>
      <c r="E44" s="882"/>
      <c r="F44" s="882"/>
      <c r="G44" s="882"/>
      <c r="H44" s="882"/>
      <c r="I44" s="889"/>
      <c r="J44" s="882"/>
    </row>
    <row r="45" spans="1:10" ht="15" hidden="1" customHeight="1" outlineLevel="1">
      <c r="A45" s="660"/>
      <c r="B45" s="893" t="s">
        <v>879</v>
      </c>
      <c r="C45" s="882"/>
      <c r="D45" s="882"/>
      <c r="E45" s="882"/>
      <c r="F45" s="882"/>
      <c r="G45" s="882"/>
      <c r="H45" s="882"/>
      <c r="I45" s="889"/>
      <c r="J45" s="882"/>
    </row>
    <row r="46" spans="1:10" ht="15.75" hidden="1" customHeight="1" outlineLevel="1">
      <c r="A46" s="660"/>
      <c r="B46" s="899" t="s">
        <v>880</v>
      </c>
      <c r="C46" s="900">
        <v>0</v>
      </c>
      <c r="D46" s="900">
        <v>0</v>
      </c>
      <c r="E46" s="900">
        <v>0</v>
      </c>
      <c r="F46" s="900">
        <v>0</v>
      </c>
      <c r="G46" s="900">
        <v>0</v>
      </c>
      <c r="H46" s="900">
        <v>0</v>
      </c>
      <c r="I46" s="901">
        <v>0</v>
      </c>
      <c r="J46" s="900">
        <v>0</v>
      </c>
    </row>
    <row r="47" spans="1:10" ht="15" hidden="1" customHeight="1" outlineLevel="1">
      <c r="A47" s="660"/>
      <c r="B47" s="893" t="s">
        <v>881</v>
      </c>
      <c r="C47" s="882"/>
      <c r="D47" s="882"/>
      <c r="E47" s="882"/>
      <c r="F47" s="882"/>
      <c r="G47" s="882"/>
      <c r="H47" s="882"/>
      <c r="I47" s="889"/>
      <c r="J47" s="882"/>
    </row>
    <row r="48" spans="1:10" ht="15" hidden="1" customHeight="1" outlineLevel="1">
      <c r="A48" s="660"/>
      <c r="B48" s="893" t="s">
        <v>882</v>
      </c>
      <c r="C48" s="882"/>
      <c r="D48" s="882"/>
      <c r="E48" s="882"/>
      <c r="F48" s="882"/>
      <c r="G48" s="882"/>
      <c r="H48" s="882"/>
      <c r="I48" s="889"/>
      <c r="J48" s="882"/>
    </row>
    <row r="49" spans="1:10" ht="15" hidden="1" customHeight="1" outlineLevel="1">
      <c r="A49" s="660"/>
      <c r="B49" s="893" t="s">
        <v>883</v>
      </c>
      <c r="C49" s="882"/>
      <c r="D49" s="882"/>
      <c r="E49" s="882"/>
      <c r="F49" s="882"/>
      <c r="G49" s="882"/>
      <c r="H49" s="882"/>
      <c r="I49" s="889"/>
      <c r="J49" s="882"/>
    </row>
    <row r="50" spans="1:10" ht="15" hidden="1" customHeight="1" outlineLevel="1">
      <c r="A50" s="660"/>
      <c r="B50" s="893" t="s">
        <v>884</v>
      </c>
      <c r="C50" s="882"/>
      <c r="D50" s="882"/>
      <c r="E50" s="882"/>
      <c r="F50" s="882"/>
      <c r="G50" s="882"/>
      <c r="H50" s="882"/>
      <c r="I50" s="889"/>
      <c r="J50" s="882"/>
    </row>
    <row r="51" spans="1:10" ht="15" hidden="1" customHeight="1" outlineLevel="1">
      <c r="A51" s="660"/>
      <c r="B51" s="893" t="s">
        <v>885</v>
      </c>
      <c r="C51" s="882"/>
      <c r="D51" s="882"/>
      <c r="E51" s="882"/>
      <c r="F51" s="882"/>
      <c r="G51" s="882"/>
      <c r="H51" s="882"/>
      <c r="I51" s="889"/>
      <c r="J51" s="882"/>
    </row>
    <row r="52" spans="1:10" ht="15.75" hidden="1" customHeight="1" outlineLevel="1">
      <c r="A52" s="660"/>
      <c r="B52" s="902" t="s">
        <v>886</v>
      </c>
      <c r="C52" s="896">
        <v>0</v>
      </c>
      <c r="D52" s="896">
        <v>0</v>
      </c>
      <c r="E52" s="896">
        <v>0</v>
      </c>
      <c r="F52" s="896">
        <v>0</v>
      </c>
      <c r="G52" s="896">
        <v>0</v>
      </c>
      <c r="H52" s="896">
        <v>0</v>
      </c>
      <c r="I52" s="897">
        <v>0</v>
      </c>
      <c r="J52" s="896">
        <v>0</v>
      </c>
    </row>
    <row r="53" spans="1:10" ht="15" hidden="1" customHeight="1" outlineLevel="1">
      <c r="A53" s="660"/>
      <c r="B53" s="893" t="s">
        <v>887</v>
      </c>
      <c r="C53" s="882"/>
      <c r="D53" s="882"/>
      <c r="E53" s="882"/>
      <c r="F53" s="882"/>
      <c r="G53" s="882"/>
      <c r="H53" s="882"/>
      <c r="I53" s="889">
        <v>0</v>
      </c>
      <c r="J53" s="882"/>
    </row>
    <row r="54" spans="1:10" ht="15" hidden="1" customHeight="1" outlineLevel="1">
      <c r="A54" s="660"/>
      <c r="B54" s="893" t="s">
        <v>888</v>
      </c>
      <c r="C54" s="882"/>
      <c r="D54" s="882"/>
      <c r="E54" s="882"/>
      <c r="F54" s="882"/>
      <c r="G54" s="882"/>
      <c r="H54" s="882"/>
      <c r="I54" s="889"/>
      <c r="J54" s="882"/>
    </row>
    <row r="55" spans="1:10" ht="15" hidden="1" customHeight="1" outlineLevel="1">
      <c r="A55" s="660"/>
      <c r="B55" s="893" t="s">
        <v>889</v>
      </c>
      <c r="C55" s="882"/>
      <c r="D55" s="882"/>
      <c r="E55" s="882"/>
      <c r="F55" s="882"/>
      <c r="G55" s="882"/>
      <c r="H55" s="882"/>
      <c r="I55" s="889"/>
      <c r="J55" s="882"/>
    </row>
    <row r="56" spans="1:10" ht="15" hidden="1" customHeight="1" outlineLevel="1">
      <c r="A56" s="660"/>
      <c r="B56" s="893" t="s">
        <v>890</v>
      </c>
      <c r="C56" s="882"/>
      <c r="D56" s="882"/>
      <c r="E56" s="882"/>
      <c r="F56" s="882"/>
      <c r="G56" s="882"/>
      <c r="H56" s="882"/>
      <c r="I56" s="889"/>
      <c r="J56" s="882"/>
    </row>
    <row r="57" spans="1:10" ht="15" hidden="1" customHeight="1" outlineLevel="1">
      <c r="A57" s="660"/>
      <c r="B57" s="903" t="s">
        <v>891</v>
      </c>
      <c r="C57" s="904"/>
      <c r="D57" s="904"/>
      <c r="E57" s="904"/>
      <c r="F57" s="904"/>
      <c r="G57" s="904"/>
      <c r="H57" s="904"/>
      <c r="I57" s="905"/>
      <c r="J57" s="904"/>
    </row>
    <row r="58" spans="1:10" ht="15" hidden="1" customHeight="1" outlineLevel="1">
      <c r="A58" s="660"/>
      <c r="B58" s="903"/>
      <c r="C58" s="904"/>
      <c r="D58" s="904"/>
      <c r="E58" s="904"/>
      <c r="F58" s="904"/>
      <c r="G58" s="904"/>
      <c r="H58" s="904"/>
      <c r="I58" s="905"/>
      <c r="J58" s="904"/>
    </row>
    <row r="59" spans="1:10" ht="15.75" collapsed="1" thickBot="1">
      <c r="A59" s="660"/>
      <c r="B59" s="906" t="s">
        <v>104</v>
      </c>
      <c r="C59" s="907">
        <v>40576059.647040404</v>
      </c>
      <c r="D59" s="907">
        <v>0</v>
      </c>
      <c r="E59" s="908">
        <v>47708500.000000402</v>
      </c>
      <c r="F59" s="908">
        <v>6226523.1925329389</v>
      </c>
      <c r="G59" s="907">
        <v>0</v>
      </c>
      <c r="H59" s="907">
        <v>2056986.4433706906</v>
      </c>
      <c r="I59" s="908">
        <v>82058036.454507872</v>
      </c>
      <c r="J59" s="907">
        <v>0</v>
      </c>
    </row>
    <row r="60" spans="1:10">
      <c r="A60" s="660"/>
      <c r="B60" s="928"/>
      <c r="C60" s="928"/>
      <c r="D60" s="928"/>
      <c r="E60" s="928"/>
      <c r="F60" s="928"/>
      <c r="G60" s="928"/>
      <c r="H60" s="928"/>
      <c r="I60" s="928"/>
      <c r="J60" s="928"/>
    </row>
    <row r="62" spans="1:10">
      <c r="F62" s="566"/>
    </row>
    <row r="63" spans="1:10">
      <c r="F63" s="566"/>
      <c r="G63" s="216"/>
    </row>
    <row r="64" spans="1:10">
      <c r="F64" s="566"/>
      <c r="G64" s="216"/>
    </row>
    <row r="65" spans="6:6">
      <c r="F65" s="571"/>
    </row>
  </sheetData>
  <mergeCells count="21">
    <mergeCell ref="K20:L20"/>
    <mergeCell ref="K10:L10"/>
    <mergeCell ref="C11:C12"/>
    <mergeCell ref="D11:D12"/>
    <mergeCell ref="E11:E12"/>
    <mergeCell ref="F11:G11"/>
    <mergeCell ref="H11:H12"/>
    <mergeCell ref="I11:I12"/>
    <mergeCell ref="J11:J12"/>
    <mergeCell ref="B8:H8"/>
    <mergeCell ref="I8:J8"/>
    <mergeCell ref="B10:B12"/>
    <mergeCell ref="C10:D10"/>
    <mergeCell ref="E10:H10"/>
    <mergeCell ref="I10:J10"/>
    <mergeCell ref="B7:J7"/>
    <mergeCell ref="B2:J2"/>
    <mergeCell ref="B3:I3"/>
    <mergeCell ref="B4:I4"/>
    <mergeCell ref="B5:J5"/>
    <mergeCell ref="B6:J6"/>
  </mergeCells>
  <printOptions horizontalCentered="1"/>
  <pageMargins left="0" right="0" top="1.0236220472440944" bottom="0.55118110236220474" header="0.31496062992125984" footer="0.31496062992125984"/>
  <pageSetup paperSize="9" scale="77" orientation="landscape" r:id="rId1"/>
  <colBreaks count="1" manualBreakCount="1">
    <brk id="10" max="63" man="1"/>
  </colBreaks>
  <drawing r:id="rId2"/>
</worksheet>
</file>

<file path=xl/worksheets/sheet14.xml><?xml version="1.0" encoding="utf-8"?>
<worksheet xmlns="http://schemas.openxmlformats.org/spreadsheetml/2006/main" xmlns:r="http://schemas.openxmlformats.org/officeDocument/2006/relationships">
  <sheetPr>
    <tabColor rgb="FF92D050"/>
  </sheetPr>
  <dimension ref="A1:I50"/>
  <sheetViews>
    <sheetView showGridLines="0" topLeftCell="A10" zoomScale="90" zoomScaleNormal="90" zoomScaleSheetLayoutView="100" workbookViewId="0">
      <selection activeCell="A39" sqref="A39:G39"/>
    </sheetView>
  </sheetViews>
  <sheetFormatPr baseColWidth="10" defaultColWidth="11.42578125" defaultRowHeight="15"/>
  <cols>
    <col min="1" max="1" width="19.7109375" style="1" customWidth="1"/>
    <col min="2" max="6" width="11.7109375" style="1" customWidth="1"/>
    <col min="7" max="7" width="87.85546875" style="1" customWidth="1"/>
    <col min="8" max="8" width="14.7109375" style="1" customWidth="1"/>
    <col min="9" max="9" width="14.5703125" style="1" bestFit="1" customWidth="1"/>
    <col min="10" max="16384" width="11.42578125" style="1"/>
  </cols>
  <sheetData>
    <row r="1" spans="1:9" ht="60" customHeight="1" thickBot="1">
      <c r="A1" s="4"/>
      <c r="B1" s="4"/>
      <c r="C1" s="4"/>
      <c r="D1" s="4"/>
      <c r="E1" s="4"/>
      <c r="F1" s="4"/>
      <c r="G1" s="4"/>
      <c r="H1" s="4"/>
    </row>
    <row r="2" spans="1:9" ht="15.75" thickBot="1">
      <c r="A2" s="909" t="s">
        <v>827</v>
      </c>
      <c r="B2" s="910"/>
      <c r="C2" s="910"/>
      <c r="D2" s="910"/>
      <c r="E2" s="910"/>
      <c r="F2" s="910"/>
      <c r="G2" s="910"/>
      <c r="H2" s="911"/>
    </row>
    <row r="3" spans="1:9" ht="15.75" customHeight="1">
      <c r="A3" s="949" t="s">
        <v>1</v>
      </c>
      <c r="B3" s="1287"/>
      <c r="C3" s="1287"/>
      <c r="D3" s="1287"/>
      <c r="E3" s="1287"/>
      <c r="F3" s="1287"/>
      <c r="G3" s="950"/>
      <c r="H3" s="1288" t="s">
        <v>2</v>
      </c>
    </row>
    <row r="4" spans="1:9" ht="21.75" customHeight="1">
      <c r="A4" s="1289" t="s">
        <v>3</v>
      </c>
      <c r="B4" s="1290"/>
      <c r="C4" s="1290"/>
      <c r="D4" s="1290"/>
      <c r="E4" s="1290"/>
      <c r="F4" s="1290"/>
      <c r="G4" s="1291"/>
      <c r="H4" s="1292">
        <v>2023</v>
      </c>
    </row>
    <row r="5" spans="1:9" ht="15" customHeight="1">
      <c r="A5" s="1293" t="s">
        <v>4</v>
      </c>
      <c r="B5" s="1294"/>
      <c r="C5" s="1294"/>
      <c r="D5" s="1294"/>
      <c r="E5" s="1294"/>
      <c r="F5" s="1294"/>
      <c r="G5" s="1294"/>
      <c r="H5" s="1295"/>
    </row>
    <row r="6" spans="1:9">
      <c r="A6" s="1293" t="s">
        <v>5</v>
      </c>
      <c r="B6" s="1294"/>
      <c r="C6" s="1294"/>
      <c r="D6" s="1294"/>
      <c r="E6" s="1294"/>
      <c r="F6" s="1294"/>
      <c r="G6" s="1294"/>
      <c r="H6" s="1295"/>
    </row>
    <row r="7" spans="1:9" ht="15.75" thickBot="1">
      <c r="A7" s="1296" t="s">
        <v>828</v>
      </c>
      <c r="B7" s="1297"/>
      <c r="C7" s="1297"/>
      <c r="D7" s="1297"/>
      <c r="E7" s="1297"/>
      <c r="F7" s="1297"/>
      <c r="G7" s="1297"/>
      <c r="H7" s="1298"/>
    </row>
    <row r="8" spans="1:9" ht="7.5" customHeight="1" thickBot="1">
      <c r="A8" s="1299"/>
      <c r="B8" s="1300"/>
      <c r="C8" s="1300"/>
      <c r="D8" s="1300"/>
      <c r="E8" s="1300"/>
      <c r="F8" s="1300"/>
      <c r="G8" s="1300"/>
      <c r="H8" s="1301"/>
    </row>
    <row r="9" spans="1:9" ht="18.75" customHeight="1" thickBot="1">
      <c r="A9" s="1302" t="s">
        <v>829</v>
      </c>
      <c r="B9" s="1303"/>
      <c r="C9" s="1303"/>
      <c r="D9" s="1303"/>
      <c r="E9" s="1303"/>
      <c r="F9" s="1303"/>
      <c r="G9" s="1304"/>
      <c r="H9" s="1305" t="s">
        <v>830</v>
      </c>
    </row>
    <row r="10" spans="1:9">
      <c r="A10" s="1306" t="s">
        <v>831</v>
      </c>
      <c r="B10" s="1307"/>
      <c r="C10" s="1307"/>
      <c r="D10" s="1307"/>
      <c r="E10" s="1307"/>
      <c r="F10" s="1307"/>
      <c r="G10" s="1308"/>
      <c r="H10" s="1309">
        <v>0</v>
      </c>
      <c r="I10" s="216"/>
    </row>
    <row r="11" spans="1:9">
      <c r="A11" s="1310" t="s">
        <v>832</v>
      </c>
      <c r="B11" s="1311"/>
      <c r="C11" s="1311"/>
      <c r="D11" s="1311"/>
      <c r="E11" s="1311"/>
      <c r="F11" s="1311"/>
      <c r="G11" s="1312"/>
      <c r="H11" s="1313">
        <v>0</v>
      </c>
      <c r="I11" s="313"/>
    </row>
    <row r="12" spans="1:9">
      <c r="A12" s="1314"/>
      <c r="B12" s="1315"/>
      <c r="C12" s="1315"/>
      <c r="D12" s="1315"/>
      <c r="E12" s="1315"/>
      <c r="F12" s="1315"/>
      <c r="G12" s="1316"/>
      <c r="H12" s="882"/>
      <c r="I12" s="313"/>
    </row>
    <row r="13" spans="1:9">
      <c r="A13" s="1317" t="s">
        <v>833</v>
      </c>
      <c r="B13" s="1318"/>
      <c r="C13" s="1318"/>
      <c r="D13" s="1318"/>
      <c r="E13" s="1318"/>
      <c r="F13" s="1318"/>
      <c r="G13" s="1319"/>
      <c r="H13" s="885">
        <v>20706046.530000001</v>
      </c>
      <c r="I13" s="313"/>
    </row>
    <row r="14" spans="1:9" collapsed="1">
      <c r="A14" s="1320" t="s">
        <v>834</v>
      </c>
      <c r="B14" s="1321"/>
      <c r="C14" s="1321"/>
      <c r="D14" s="1321"/>
      <c r="E14" s="1321"/>
      <c r="F14" s="1321"/>
      <c r="G14" s="1322"/>
      <c r="H14" s="885">
        <v>3828046.5300000003</v>
      </c>
      <c r="I14" s="313"/>
    </row>
    <row r="15" spans="1:9">
      <c r="A15" s="1323" t="s">
        <v>1019</v>
      </c>
      <c r="B15" s="1324"/>
      <c r="C15" s="1324"/>
      <c r="D15" s="1324"/>
      <c r="E15" s="1324"/>
      <c r="F15" s="1324"/>
      <c r="G15" s="1325"/>
      <c r="H15" s="904">
        <v>613558.43000000005</v>
      </c>
      <c r="I15" s="313"/>
    </row>
    <row r="16" spans="1:9">
      <c r="A16" s="1326" t="s">
        <v>835</v>
      </c>
      <c r="B16" s="1327"/>
      <c r="C16" s="1327"/>
      <c r="D16" s="1327"/>
      <c r="E16" s="1327"/>
      <c r="F16" s="1327"/>
      <c r="G16" s="1327"/>
      <c r="H16" s="1328"/>
      <c r="I16" s="313"/>
    </row>
    <row r="17" spans="1:9">
      <c r="A17" s="1329" t="s">
        <v>836</v>
      </c>
      <c r="B17" s="1330"/>
      <c r="C17" s="1330"/>
      <c r="D17" s="1330"/>
      <c r="E17" s="1330"/>
      <c r="F17" s="1330"/>
      <c r="G17" s="1330"/>
      <c r="H17" s="1331">
        <v>2207163.1</v>
      </c>
      <c r="I17" s="313"/>
    </row>
    <row r="18" spans="1:9">
      <c r="A18" s="1332" t="s">
        <v>837</v>
      </c>
      <c r="B18" s="1333"/>
      <c r="C18" s="1333"/>
      <c r="D18" s="1333"/>
      <c r="E18" s="1333"/>
      <c r="F18" s="1333"/>
      <c r="G18" s="1334"/>
      <c r="H18" s="1335"/>
      <c r="I18" s="313"/>
    </row>
    <row r="19" spans="1:9">
      <c r="A19" s="1332" t="s">
        <v>838</v>
      </c>
      <c r="B19" s="1333"/>
      <c r="C19" s="1333"/>
      <c r="D19" s="1333"/>
      <c r="E19" s="1333"/>
      <c r="F19" s="1333"/>
      <c r="G19" s="1334"/>
      <c r="H19" s="1313">
        <v>857325</v>
      </c>
      <c r="I19" s="313"/>
    </row>
    <row r="20" spans="1:9" ht="16.5" customHeight="1">
      <c r="A20" s="1332" t="s">
        <v>839</v>
      </c>
      <c r="B20" s="1333"/>
      <c r="C20" s="1333"/>
      <c r="D20" s="1333"/>
      <c r="E20" s="1333"/>
      <c r="F20" s="1333"/>
      <c r="G20" s="1334"/>
      <c r="H20" s="882">
        <v>150000</v>
      </c>
      <c r="I20" s="313"/>
    </row>
    <row r="21" spans="1:9">
      <c r="A21" s="1336"/>
      <c r="B21" s="1337"/>
      <c r="C21" s="1337"/>
      <c r="D21" s="1337"/>
      <c r="E21" s="1337"/>
      <c r="F21" s="1337"/>
      <c r="G21" s="1338"/>
      <c r="H21" s="882"/>
      <c r="I21" s="313"/>
    </row>
    <row r="22" spans="1:9">
      <c r="A22" s="1317" t="s">
        <v>840</v>
      </c>
      <c r="B22" s="1318"/>
      <c r="C22" s="1318"/>
      <c r="D22" s="1318"/>
      <c r="E22" s="1318"/>
      <c r="F22" s="1318"/>
      <c r="G22" s="1319"/>
      <c r="H22" s="885">
        <v>16878000</v>
      </c>
      <c r="I22" s="313"/>
    </row>
    <row r="23" spans="1:9">
      <c r="A23" s="1339" t="s">
        <v>276</v>
      </c>
      <c r="B23" s="1340"/>
      <c r="C23" s="1340"/>
      <c r="D23" s="1340"/>
      <c r="E23" s="1340"/>
      <c r="F23" s="1340"/>
      <c r="G23" s="1341"/>
      <c r="H23" s="892">
        <v>16878000</v>
      </c>
      <c r="I23" s="313"/>
    </row>
    <row r="24" spans="1:9" ht="27" customHeight="1">
      <c r="A24" s="1342" t="s">
        <v>104</v>
      </c>
      <c r="B24" s="1343"/>
      <c r="C24" s="1343"/>
      <c r="D24" s="1343"/>
      <c r="E24" s="1343"/>
      <c r="F24" s="1343"/>
      <c r="G24" s="1344"/>
      <c r="H24" s="1345">
        <v>20706046.530000001</v>
      </c>
      <c r="I24" s="216"/>
    </row>
    <row r="25" spans="1:9" ht="3" customHeight="1" thickBot="1">
      <c r="A25" s="1346"/>
      <c r="B25" s="1347"/>
      <c r="C25" s="1347"/>
      <c r="D25" s="1347"/>
      <c r="E25" s="1347"/>
      <c r="F25" s="1347"/>
      <c r="G25" s="1348"/>
      <c r="H25" s="1349"/>
      <c r="I25" s="216"/>
    </row>
    <row r="26" spans="1:9" ht="15.75" thickBot="1">
      <c r="A26" s="1350"/>
      <c r="B26" s="1351"/>
      <c r="C26" s="1351"/>
      <c r="D26" s="1351"/>
      <c r="E26" s="1351"/>
      <c r="F26" s="1351"/>
      <c r="G26" s="1351"/>
      <c r="H26" s="1352"/>
      <c r="I26" s="216"/>
    </row>
    <row r="27" spans="1:9" ht="15.75" thickBot="1">
      <c r="A27" s="1353" t="s">
        <v>841</v>
      </c>
      <c r="B27" s="1354"/>
      <c r="C27" s="1354"/>
      <c r="D27" s="1354"/>
      <c r="E27" s="1354"/>
      <c r="F27" s="1354"/>
      <c r="G27" s="1354"/>
      <c r="H27" s="1355"/>
      <c r="I27" s="216"/>
    </row>
    <row r="28" spans="1:9" ht="7.5" customHeight="1" thickBot="1">
      <c r="A28" s="1356"/>
      <c r="B28" s="1357"/>
      <c r="C28" s="1357"/>
      <c r="D28" s="1357"/>
      <c r="E28" s="1357"/>
      <c r="F28" s="1357"/>
      <c r="G28" s="1357"/>
      <c r="H28" s="1358"/>
      <c r="I28" s="216"/>
    </row>
    <row r="29" spans="1:9" ht="15.75" thickBot="1">
      <c r="A29" s="1302" t="s">
        <v>829</v>
      </c>
      <c r="B29" s="1303"/>
      <c r="C29" s="1303"/>
      <c r="D29" s="1303"/>
      <c r="E29" s="1303"/>
      <c r="F29" s="1303"/>
      <c r="G29" s="1304"/>
      <c r="H29" s="1305" t="s">
        <v>830</v>
      </c>
      <c r="I29" s="216"/>
    </row>
    <row r="30" spans="1:9">
      <c r="A30" s="1306" t="s">
        <v>831</v>
      </c>
      <c r="B30" s="1307"/>
      <c r="C30" s="1307"/>
      <c r="D30" s="1307"/>
      <c r="E30" s="1307"/>
      <c r="F30" s="1307"/>
      <c r="G30" s="1308"/>
      <c r="H30" s="1309">
        <v>0</v>
      </c>
      <c r="I30" s="216"/>
    </row>
    <row r="31" spans="1:9">
      <c r="A31" s="1314" t="s">
        <v>842</v>
      </c>
      <c r="B31" s="1315"/>
      <c r="C31" s="1315"/>
      <c r="D31" s="1315"/>
      <c r="E31" s="1315"/>
      <c r="F31" s="1315"/>
      <c r="G31" s="1316"/>
      <c r="H31" s="882"/>
      <c r="I31" s="216"/>
    </row>
    <row r="32" spans="1:9">
      <c r="A32" s="1314" t="s">
        <v>843</v>
      </c>
      <c r="B32" s="1315"/>
      <c r="C32" s="1315"/>
      <c r="D32" s="1315"/>
      <c r="E32" s="1315"/>
      <c r="F32" s="1315"/>
      <c r="G32" s="1316"/>
      <c r="H32" s="882"/>
      <c r="I32" s="313"/>
    </row>
    <row r="33" spans="1:9">
      <c r="A33" s="1314" t="s">
        <v>844</v>
      </c>
      <c r="B33" s="1315"/>
      <c r="C33" s="1315"/>
      <c r="D33" s="1315"/>
      <c r="E33" s="1315"/>
      <c r="F33" s="1315"/>
      <c r="G33" s="1316"/>
      <c r="H33" s="882"/>
      <c r="I33" s="216"/>
    </row>
    <row r="34" spans="1:9">
      <c r="A34" s="1314" t="s">
        <v>845</v>
      </c>
      <c r="B34" s="1315"/>
      <c r="C34" s="1315"/>
      <c r="D34" s="1315"/>
      <c r="E34" s="1315"/>
      <c r="F34" s="1315"/>
      <c r="G34" s="1316"/>
      <c r="H34" s="1313">
        <v>0</v>
      </c>
      <c r="I34" s="216"/>
    </row>
    <row r="35" spans="1:9">
      <c r="A35" s="1314" t="s">
        <v>846</v>
      </c>
      <c r="B35" s="1315"/>
      <c r="C35" s="1315"/>
      <c r="D35" s="1315"/>
      <c r="E35" s="1315"/>
      <c r="F35" s="1315"/>
      <c r="G35" s="1316"/>
      <c r="H35" s="1313"/>
      <c r="I35" s="216"/>
    </row>
    <row r="36" spans="1:9">
      <c r="A36" s="1317" t="s">
        <v>833</v>
      </c>
      <c r="B36" s="1318"/>
      <c r="C36" s="1318"/>
      <c r="D36" s="1318"/>
      <c r="E36" s="1318"/>
      <c r="F36" s="1318"/>
      <c r="G36" s="1319"/>
      <c r="H36" s="885">
        <v>34699355</v>
      </c>
      <c r="I36" s="216"/>
    </row>
    <row r="37" spans="1:9">
      <c r="A37" s="1314" t="s">
        <v>842</v>
      </c>
      <c r="B37" s="1315"/>
      <c r="C37" s="1315"/>
      <c r="D37" s="1315"/>
      <c r="E37" s="1315"/>
      <c r="F37" s="1315"/>
      <c r="G37" s="1316"/>
      <c r="H37" s="882"/>
      <c r="I37" s="216"/>
    </row>
    <row r="38" spans="1:9">
      <c r="A38" s="1314" t="s">
        <v>843</v>
      </c>
      <c r="B38" s="1315"/>
      <c r="C38" s="1315"/>
      <c r="D38" s="1315"/>
      <c r="E38" s="1315"/>
      <c r="F38" s="1315"/>
      <c r="G38" s="1316"/>
      <c r="H38" s="882"/>
      <c r="I38" s="216"/>
    </row>
    <row r="39" spans="1:9">
      <c r="A39" s="1314" t="s">
        <v>844</v>
      </c>
      <c r="B39" s="1315"/>
      <c r="C39" s="1315"/>
      <c r="D39" s="1315"/>
      <c r="E39" s="1315"/>
      <c r="F39" s="1315"/>
      <c r="G39" s="1316"/>
      <c r="H39" s="882"/>
      <c r="I39" s="216"/>
    </row>
    <row r="40" spans="1:9">
      <c r="A40" s="1320" t="s">
        <v>847</v>
      </c>
      <c r="B40" s="1321"/>
      <c r="C40" s="1321"/>
      <c r="D40" s="1321"/>
      <c r="E40" s="1321"/>
      <c r="F40" s="1321"/>
      <c r="G40" s="1322"/>
      <c r="H40" s="885">
        <v>34699355</v>
      </c>
      <c r="I40" s="216"/>
    </row>
    <row r="41" spans="1:9">
      <c r="A41" s="1359" t="s">
        <v>848</v>
      </c>
      <c r="B41" s="1360"/>
      <c r="C41" s="1360"/>
      <c r="D41" s="1360"/>
      <c r="E41" s="1360"/>
      <c r="F41" s="1360"/>
      <c r="G41" s="1361"/>
      <c r="H41" s="1313">
        <v>3050688.76</v>
      </c>
      <c r="I41" s="216"/>
    </row>
    <row r="42" spans="1:9">
      <c r="A42" s="1359" t="s">
        <v>848</v>
      </c>
      <c r="B42" s="1360"/>
      <c r="C42" s="1360"/>
      <c r="D42" s="1360"/>
      <c r="E42" s="1360"/>
      <c r="F42" s="1360"/>
      <c r="G42" s="1361"/>
      <c r="H42" s="1313">
        <v>5648666.2400000002</v>
      </c>
      <c r="I42" s="216"/>
    </row>
    <row r="43" spans="1:9">
      <c r="A43" s="1362" t="s">
        <v>849</v>
      </c>
      <c r="B43" s="1363"/>
      <c r="C43" s="1363"/>
      <c r="D43" s="1363"/>
      <c r="E43" s="1363"/>
      <c r="F43" s="1363"/>
      <c r="G43" s="1364"/>
      <c r="H43" s="885">
        <v>26000000</v>
      </c>
      <c r="I43" s="216"/>
    </row>
    <row r="44" spans="1:9">
      <c r="A44" s="1365" t="s">
        <v>850</v>
      </c>
      <c r="B44" s="1366"/>
      <c r="C44" s="1366"/>
      <c r="D44" s="1366"/>
      <c r="E44" s="1366"/>
      <c r="F44" s="1366"/>
      <c r="G44" s="1367"/>
      <c r="H44" s="882">
        <v>2090000</v>
      </c>
      <c r="I44" s="216"/>
    </row>
    <row r="45" spans="1:9">
      <c r="A45" s="1365" t="s">
        <v>892</v>
      </c>
      <c r="B45" s="1366"/>
      <c r="C45" s="1366"/>
      <c r="D45" s="1366"/>
      <c r="E45" s="1366"/>
      <c r="F45" s="1366"/>
      <c r="G45" s="1367"/>
      <c r="H45" s="882">
        <v>23910000</v>
      </c>
      <c r="I45" s="216"/>
    </row>
    <row r="46" spans="1:9" ht="15.75" thickBot="1">
      <c r="A46" s="1368" t="s">
        <v>104</v>
      </c>
      <c r="B46" s="1369"/>
      <c r="C46" s="1369"/>
      <c r="D46" s="1369"/>
      <c r="E46" s="1369"/>
      <c r="F46" s="1369"/>
      <c r="G46" s="1370"/>
      <c r="H46" s="907">
        <v>34699355</v>
      </c>
      <c r="I46" s="216"/>
    </row>
    <row r="47" spans="1:9" ht="7.5" customHeight="1">
      <c r="A47" s="1371"/>
      <c r="B47" s="1371"/>
      <c r="C47" s="1371"/>
      <c r="D47" s="1371"/>
      <c r="E47" s="1371"/>
      <c r="F47" s="1371"/>
      <c r="G47" s="1371"/>
      <c r="H47" s="1371"/>
    </row>
    <row r="48" spans="1:9">
      <c r="A48" s="565"/>
      <c r="B48" s="565"/>
      <c r="C48" s="565"/>
      <c r="D48" s="565"/>
      <c r="E48" s="565"/>
      <c r="F48" s="565"/>
      <c r="G48" s="565"/>
      <c r="H48" s="565"/>
    </row>
    <row r="49" spans="1:8">
      <c r="A49" s="565"/>
      <c r="B49" s="565"/>
      <c r="C49" s="565"/>
      <c r="D49" s="565"/>
      <c r="E49" s="565"/>
      <c r="F49" s="565"/>
      <c r="G49" s="565"/>
      <c r="H49" s="565"/>
    </row>
    <row r="50" spans="1:8">
      <c r="A50" s="565"/>
      <c r="B50" s="565"/>
      <c r="C50" s="565"/>
      <c r="D50" s="565"/>
      <c r="E50" s="565"/>
      <c r="F50" s="565"/>
      <c r="G50" s="565"/>
      <c r="H50" s="565"/>
    </row>
  </sheetData>
  <mergeCells count="43">
    <mergeCell ref="A42:G42"/>
    <mergeCell ref="A43:G43"/>
    <mergeCell ref="A44:G44"/>
    <mergeCell ref="A45:G45"/>
    <mergeCell ref="A46:G46"/>
    <mergeCell ref="H24:H25"/>
    <mergeCell ref="A27:H27"/>
    <mergeCell ref="A41:G41"/>
    <mergeCell ref="A30:G30"/>
    <mergeCell ref="A31:G31"/>
    <mergeCell ref="A32:G32"/>
    <mergeCell ref="A33:G33"/>
    <mergeCell ref="A34:G34"/>
    <mergeCell ref="A35:G35"/>
    <mergeCell ref="A36:G36"/>
    <mergeCell ref="A37:G37"/>
    <mergeCell ref="A38:G38"/>
    <mergeCell ref="A39:G39"/>
    <mergeCell ref="A40:G40"/>
    <mergeCell ref="A29:G29"/>
    <mergeCell ref="A18:G18"/>
    <mergeCell ref="A13:G13"/>
    <mergeCell ref="A14:G14"/>
    <mergeCell ref="A15:G15"/>
    <mergeCell ref="A16:G16"/>
    <mergeCell ref="A17:G17"/>
    <mergeCell ref="A21:G21"/>
    <mergeCell ref="A22:G22"/>
    <mergeCell ref="A23:G23"/>
    <mergeCell ref="A24:G25"/>
    <mergeCell ref="A19:G19"/>
    <mergeCell ref="A20:G20"/>
    <mergeCell ref="A7:H7"/>
    <mergeCell ref="A2:H2"/>
    <mergeCell ref="A3:G3"/>
    <mergeCell ref="A4:G4"/>
    <mergeCell ref="A5:H5"/>
    <mergeCell ref="A6:H6"/>
    <mergeCell ref="A8:G8"/>
    <mergeCell ref="A9:G9"/>
    <mergeCell ref="A10:G10"/>
    <mergeCell ref="A11:G11"/>
    <mergeCell ref="A12:G12"/>
  </mergeCells>
  <printOptions horizontalCentered="1"/>
  <pageMargins left="0" right="0" top="0.43307086614173229" bottom="0.39370078740157483" header="0.19685039370078741" footer="0.19685039370078741"/>
  <pageSetup paperSize="9" scale="61" orientation="landscape" r:id="rId1"/>
  <drawing r:id="rId2"/>
</worksheet>
</file>

<file path=xl/worksheets/sheet15.xml><?xml version="1.0" encoding="utf-8"?>
<worksheet xmlns="http://schemas.openxmlformats.org/spreadsheetml/2006/main" xmlns:r="http://schemas.openxmlformats.org/officeDocument/2006/relationships">
  <sheetPr>
    <tabColor rgb="FF92D050"/>
  </sheetPr>
  <dimension ref="A1:I60"/>
  <sheetViews>
    <sheetView showGridLines="0" tabSelected="1" topLeftCell="A10" zoomScaleNormal="100" zoomScaleSheetLayoutView="100" workbookViewId="0">
      <selection activeCell="C75" sqref="C75"/>
    </sheetView>
  </sheetViews>
  <sheetFormatPr baseColWidth="10" defaultColWidth="11.42578125" defaultRowHeight="15"/>
  <cols>
    <col min="1" max="1" width="26.28515625" style="564" customWidth="1"/>
    <col min="2" max="2" width="10.7109375" style="564" customWidth="1"/>
    <col min="3" max="6" width="13.7109375" style="564" customWidth="1"/>
    <col min="7" max="7" width="14.7109375" style="564" customWidth="1"/>
    <col min="8" max="8" width="2.7109375" style="564" customWidth="1"/>
    <col min="9" max="16384" width="11.42578125" style="564"/>
  </cols>
  <sheetData>
    <row r="1" spans="1:9" ht="60" customHeight="1" thickBot="1">
      <c r="A1" s="660"/>
      <c r="B1" s="660"/>
      <c r="C1" s="660"/>
      <c r="D1" s="660"/>
      <c r="E1" s="660"/>
      <c r="F1" s="660"/>
      <c r="G1" s="660"/>
      <c r="H1" s="660"/>
      <c r="I1" s="660"/>
    </row>
    <row r="2" spans="1:9" ht="21.75" customHeight="1" thickBot="1">
      <c r="A2" s="909" t="s">
        <v>781</v>
      </c>
      <c r="B2" s="910"/>
      <c r="C2" s="910"/>
      <c r="D2" s="910"/>
      <c r="E2" s="910"/>
      <c r="F2" s="910"/>
      <c r="G2" s="910"/>
      <c r="H2" s="910"/>
      <c r="I2" s="911"/>
    </row>
    <row r="3" spans="1:9" ht="19.5" customHeight="1">
      <c r="A3" s="1105" t="s">
        <v>1</v>
      </c>
      <c r="B3" s="1106"/>
      <c r="C3" s="1106"/>
      <c r="D3" s="1106"/>
      <c r="E3" s="1106"/>
      <c r="F3" s="1106"/>
      <c r="G3" s="1106"/>
      <c r="H3" s="1107"/>
      <c r="I3" s="868" t="s">
        <v>2</v>
      </c>
    </row>
    <row r="4" spans="1:9" ht="22.5" customHeight="1" thickBot="1">
      <c r="A4" s="913" t="s">
        <v>275</v>
      </c>
      <c r="B4" s="913"/>
      <c r="C4" s="913"/>
      <c r="D4" s="913"/>
      <c r="E4" s="913"/>
      <c r="F4" s="913"/>
      <c r="G4" s="913"/>
      <c r="H4" s="913"/>
      <c r="I4" s="914">
        <v>2023</v>
      </c>
    </row>
    <row r="5" spans="1:9" ht="24.75" customHeight="1">
      <c r="A5" s="915" t="s">
        <v>4</v>
      </c>
      <c r="B5" s="916"/>
      <c r="C5" s="916"/>
      <c r="D5" s="916"/>
      <c r="E5" s="916"/>
      <c r="F5" s="916"/>
      <c r="G5" s="916"/>
      <c r="H5" s="916"/>
      <c r="I5" s="917"/>
    </row>
    <row r="6" spans="1:9" ht="19.5" customHeight="1" thickBot="1">
      <c r="A6" s="918" t="s">
        <v>5</v>
      </c>
      <c r="B6" s="919"/>
      <c r="C6" s="919"/>
      <c r="D6" s="919"/>
      <c r="E6" s="919"/>
      <c r="F6" s="919"/>
      <c r="G6" s="919"/>
      <c r="H6" s="919"/>
      <c r="I6" s="920"/>
    </row>
    <row r="7" spans="1:9" ht="30" customHeight="1" thickBot="1">
      <c r="A7" s="1353" t="s">
        <v>782</v>
      </c>
      <c r="B7" s="1354"/>
      <c r="C7" s="1354"/>
      <c r="D7" s="1354"/>
      <c r="E7" s="1354"/>
      <c r="F7" s="1354"/>
      <c r="G7" s="1354"/>
      <c r="H7" s="1354"/>
      <c r="I7" s="1355"/>
    </row>
    <row r="8" spans="1:9">
      <c r="A8" s="1372"/>
      <c r="B8" s="1373"/>
      <c r="C8" s="1373"/>
      <c r="D8" s="1373"/>
      <c r="E8" s="1373"/>
      <c r="F8" s="1373"/>
      <c r="G8" s="1373"/>
      <c r="H8" s="1373"/>
      <c r="I8" s="1374"/>
    </row>
    <row r="9" spans="1:9">
      <c r="A9" s="1375"/>
      <c r="B9" s="1376" t="s">
        <v>783</v>
      </c>
      <c r="C9" s="1377"/>
      <c r="D9" s="1377"/>
      <c r="E9" s="1377"/>
      <c r="F9" s="1377"/>
      <c r="G9" s="1377"/>
      <c r="H9" s="1377"/>
      <c r="I9" s="1378"/>
    </row>
    <row r="10" spans="1:9" ht="14.1" customHeight="1">
      <c r="A10" s="1375"/>
      <c r="B10" s="1377"/>
      <c r="C10" s="1377"/>
      <c r="D10" s="1377"/>
      <c r="E10" s="1377"/>
      <c r="F10" s="1377"/>
      <c r="G10" s="1377"/>
      <c r="H10" s="1377"/>
      <c r="I10" s="1378"/>
    </row>
    <row r="11" spans="1:9">
      <c r="A11" s="1375"/>
      <c r="B11" s="1379" t="s">
        <v>784</v>
      </c>
      <c r="C11" s="1380" t="s">
        <v>785</v>
      </c>
      <c r="D11" s="1377"/>
      <c r="E11" s="1377"/>
      <c r="F11" s="1377"/>
      <c r="G11" s="1377"/>
      <c r="H11" s="1377"/>
      <c r="I11" s="1378"/>
    </row>
    <row r="12" spans="1:9">
      <c r="A12" s="1375"/>
      <c r="B12" s="1379"/>
      <c r="C12" s="1380" t="s">
        <v>786</v>
      </c>
      <c r="D12" s="1377"/>
      <c r="E12" s="1377"/>
      <c r="F12" s="1377"/>
      <c r="G12" s="1377"/>
      <c r="H12" s="1377"/>
      <c r="I12" s="1378"/>
    </row>
    <row r="13" spans="1:9">
      <c r="A13" s="1375"/>
      <c r="B13" s="1379"/>
      <c r="C13" s="1380" t="s">
        <v>787</v>
      </c>
      <c r="D13" s="1377"/>
      <c r="E13" s="1377"/>
      <c r="F13" s="1377"/>
      <c r="G13" s="1377"/>
      <c r="H13" s="1377"/>
      <c r="I13" s="1378"/>
    </row>
    <row r="14" spans="1:9">
      <c r="A14" s="1375"/>
      <c r="B14" s="1379"/>
      <c r="C14" s="1380" t="s">
        <v>788</v>
      </c>
      <c r="D14" s="1377"/>
      <c r="E14" s="1377"/>
      <c r="F14" s="1377"/>
      <c r="G14" s="1377"/>
      <c r="H14" s="1377"/>
      <c r="I14" s="1378"/>
    </row>
    <row r="15" spans="1:9">
      <c r="A15" s="1375"/>
      <c r="B15" s="1379"/>
      <c r="C15" s="1380" t="s">
        <v>789</v>
      </c>
      <c r="D15" s="1377"/>
      <c r="E15" s="1377"/>
      <c r="F15" s="1377"/>
      <c r="G15" s="1377"/>
      <c r="H15" s="1377"/>
      <c r="I15" s="1378"/>
    </row>
    <row r="16" spans="1:9">
      <c r="A16" s="1375"/>
      <c r="B16" s="1381" t="s">
        <v>790</v>
      </c>
      <c r="C16" s="1381"/>
      <c r="D16" s="1381"/>
      <c r="E16" s="1381"/>
      <c r="F16" s="1381"/>
      <c r="G16" s="1381"/>
      <c r="H16" s="1381"/>
      <c r="I16" s="1378"/>
    </row>
    <row r="17" spans="1:9" ht="14.25" customHeight="1">
      <c r="A17" s="1375"/>
      <c r="B17" s="1381"/>
      <c r="C17" s="1381"/>
      <c r="D17" s="1381"/>
      <c r="E17" s="1381"/>
      <c r="F17" s="1381"/>
      <c r="G17" s="1381"/>
      <c r="H17" s="1381"/>
      <c r="I17" s="1378"/>
    </row>
    <row r="18" spans="1:9" ht="14.25" customHeight="1">
      <c r="A18" s="1375"/>
      <c r="B18" s="1377"/>
      <c r="C18" s="1377"/>
      <c r="D18" s="1377"/>
      <c r="E18" s="1377"/>
      <c r="F18" s="1377"/>
      <c r="G18" s="1377"/>
      <c r="H18" s="1377"/>
      <c r="I18" s="1378"/>
    </row>
    <row r="19" spans="1:9">
      <c r="A19" s="1382" t="s">
        <v>791</v>
      </c>
      <c r="B19" s="1376"/>
      <c r="C19" s="1376"/>
      <c r="D19" s="1376"/>
      <c r="E19" s="1376"/>
      <c r="F19" s="1377"/>
      <c r="G19" s="1377"/>
      <c r="H19" s="1377"/>
      <c r="I19" s="1378"/>
    </row>
    <row r="20" spans="1:9">
      <c r="A20" s="1375"/>
      <c r="B20" s="1377"/>
      <c r="C20" s="1377"/>
      <c r="D20" s="1377"/>
      <c r="E20" s="1377"/>
      <c r="F20" s="1377"/>
      <c r="G20" s="1377"/>
      <c r="H20" s="1377"/>
      <c r="I20" s="1378"/>
    </row>
    <row r="21" spans="1:9">
      <c r="A21" s="1083" t="s">
        <v>792</v>
      </c>
      <c r="B21" s="1383" t="s">
        <v>793</v>
      </c>
      <c r="C21" s="1383"/>
      <c r="D21" s="1383"/>
      <c r="E21" s="1383"/>
      <c r="F21" s="1383"/>
      <c r="G21" s="1384" t="s">
        <v>794</v>
      </c>
      <c r="H21" s="1377"/>
      <c r="I21" s="1378"/>
    </row>
    <row r="22" spans="1:9">
      <c r="A22" s="1375"/>
      <c r="B22" s="1377"/>
      <c r="C22" s="1377"/>
      <c r="D22" s="1377"/>
      <c r="E22" s="1377"/>
      <c r="F22" s="1377"/>
      <c r="G22" s="1377"/>
      <c r="H22" s="1377"/>
      <c r="I22" s="1378"/>
    </row>
    <row r="23" spans="1:9">
      <c r="A23" s="1375"/>
      <c r="B23" s="1377"/>
      <c r="C23" s="1377"/>
      <c r="D23" s="1385" t="s">
        <v>795</v>
      </c>
      <c r="E23" s="1386"/>
      <c r="F23" s="1387">
        <v>731.88166666666666</v>
      </c>
      <c r="G23" s="1384" t="s">
        <v>796</v>
      </c>
      <c r="H23" s="1377"/>
      <c r="I23" s="1378"/>
    </row>
    <row r="24" spans="1:9">
      <c r="A24" s="1375"/>
      <c r="B24" s="1377"/>
      <c r="C24" s="1377"/>
      <c r="D24" s="1377"/>
      <c r="E24" s="1377"/>
      <c r="F24" s="1377"/>
      <c r="G24" s="1377"/>
      <c r="H24" s="1377"/>
      <c r="I24" s="1378"/>
    </row>
    <row r="25" spans="1:9">
      <c r="A25" s="1375"/>
      <c r="B25" s="1377"/>
      <c r="C25" s="1377"/>
      <c r="D25" s="1385" t="s">
        <v>797</v>
      </c>
      <c r="E25" s="1386"/>
      <c r="F25" s="1388">
        <v>37209894.210622266</v>
      </c>
      <c r="G25" s="1384" t="s">
        <v>798</v>
      </c>
      <c r="H25" s="1377"/>
      <c r="I25" s="1378"/>
    </row>
    <row r="26" spans="1:9">
      <c r="A26" s="1375"/>
      <c r="B26" s="1377"/>
      <c r="C26" s="1377"/>
      <c r="D26" s="1377"/>
      <c r="E26" s="1377"/>
      <c r="F26" s="1377"/>
      <c r="G26" s="1377"/>
      <c r="H26" s="1377"/>
      <c r="I26" s="1378"/>
    </row>
    <row r="27" spans="1:9">
      <c r="A27" s="1375"/>
      <c r="B27" s="1377"/>
      <c r="C27" s="1377"/>
      <c r="D27" s="1377"/>
      <c r="E27" s="1377"/>
      <c r="F27" s="1377"/>
      <c r="G27" s="1377"/>
      <c r="H27" s="1377"/>
      <c r="I27" s="1378"/>
    </row>
    <row r="28" spans="1:9">
      <c r="A28" s="1382" t="s">
        <v>799</v>
      </c>
      <c r="B28" s="1377"/>
      <c r="C28" s="1377"/>
      <c r="D28" s="1377"/>
      <c r="E28" s="1377"/>
      <c r="F28" s="1377"/>
      <c r="G28" s="1377"/>
      <c r="H28" s="1377"/>
      <c r="I28" s="1378"/>
    </row>
    <row r="29" spans="1:9" ht="14.25" customHeight="1">
      <c r="A29" s="1375"/>
      <c r="B29" s="1377"/>
      <c r="C29" s="1377"/>
      <c r="D29" s="1377"/>
      <c r="E29" s="1377"/>
      <c r="F29" s="1377"/>
      <c r="G29" s="1411" t="s">
        <v>800</v>
      </c>
      <c r="H29" s="1377"/>
      <c r="I29" s="1378"/>
    </row>
    <row r="30" spans="1:9" ht="15.75" customHeight="1">
      <c r="A30" s="960" t="s">
        <v>801</v>
      </c>
      <c r="B30" s="961" t="s">
        <v>802</v>
      </c>
      <c r="C30" s="1389" t="s">
        <v>803</v>
      </c>
      <c r="D30" s="1390"/>
      <c r="E30" s="1390"/>
      <c r="F30" s="1390"/>
      <c r="G30" s="1391"/>
      <c r="H30" s="1377"/>
      <c r="I30" s="1378"/>
    </row>
    <row r="31" spans="1:9" ht="25.5">
      <c r="A31" s="960"/>
      <c r="B31" s="961"/>
      <c r="C31" s="1392" t="s">
        <v>804</v>
      </c>
      <c r="D31" s="1392" t="s">
        <v>805</v>
      </c>
      <c r="E31" s="1392" t="s">
        <v>806</v>
      </c>
      <c r="F31" s="1392" t="s">
        <v>807</v>
      </c>
      <c r="G31" s="1392" t="s">
        <v>808</v>
      </c>
      <c r="H31" s="1393"/>
      <c r="I31" s="1378"/>
    </row>
    <row r="32" spans="1:9" ht="15" customHeight="1">
      <c r="A32" s="1394" t="s">
        <v>809</v>
      </c>
      <c r="B32" s="1395">
        <v>0</v>
      </c>
      <c r="C32" s="1396">
        <v>0</v>
      </c>
      <c r="D32" s="1396">
        <v>0</v>
      </c>
      <c r="E32" s="1396">
        <v>0</v>
      </c>
      <c r="F32" s="1396">
        <v>0</v>
      </c>
      <c r="G32" s="1397">
        <v>0</v>
      </c>
      <c r="H32" s="1377"/>
      <c r="I32" s="1378"/>
    </row>
    <row r="33" spans="1:9" ht="15" customHeight="1">
      <c r="A33" s="1394" t="s">
        <v>810</v>
      </c>
      <c r="B33" s="1395">
        <v>1</v>
      </c>
      <c r="C33" s="1396">
        <v>78544.393560000011</v>
      </c>
      <c r="D33" s="1396">
        <v>31732.366439999983</v>
      </c>
      <c r="E33" s="1396">
        <v>0</v>
      </c>
      <c r="F33" s="1396">
        <v>0</v>
      </c>
      <c r="G33" s="1397">
        <v>110276.76</v>
      </c>
      <c r="H33" s="1377"/>
      <c r="I33" s="1378"/>
    </row>
    <row r="34" spans="1:9" ht="15" customHeight="1">
      <c r="A34" s="1394" t="s">
        <v>811</v>
      </c>
      <c r="B34" s="1395">
        <v>16</v>
      </c>
      <c r="C34" s="1396">
        <v>653776.07039999997</v>
      </c>
      <c r="D34" s="1396">
        <v>127264.69998485893</v>
      </c>
      <c r="E34" s="1396">
        <v>0</v>
      </c>
      <c r="F34" s="1396">
        <v>0</v>
      </c>
      <c r="G34" s="1397">
        <v>781040.77038485894</v>
      </c>
      <c r="H34" s="1377"/>
      <c r="I34" s="1378"/>
    </row>
    <row r="35" spans="1:9" ht="15" customHeight="1">
      <c r="A35" s="1394" t="s">
        <v>812</v>
      </c>
      <c r="B35" s="1395">
        <v>526.34439678084777</v>
      </c>
      <c r="C35" s="1396">
        <v>16347735.401702283</v>
      </c>
      <c r="D35" s="1396">
        <v>3125041.0706510958</v>
      </c>
      <c r="E35" s="1396">
        <v>0</v>
      </c>
      <c r="F35" s="1396">
        <v>0</v>
      </c>
      <c r="G35" s="1397">
        <v>19472776.47235338</v>
      </c>
      <c r="H35" s="1377"/>
      <c r="I35" s="1378"/>
    </row>
    <row r="36" spans="1:9" ht="15" customHeight="1">
      <c r="A36" s="1394" t="s">
        <v>813</v>
      </c>
      <c r="B36" s="1395">
        <v>188.53726988581883</v>
      </c>
      <c r="C36" s="1396">
        <v>5515196.0468279347</v>
      </c>
      <c r="D36" s="1396">
        <v>1291407.8842281008</v>
      </c>
      <c r="E36" s="1396">
        <v>0</v>
      </c>
      <c r="F36" s="1396">
        <v>0</v>
      </c>
      <c r="G36" s="1397">
        <v>6806603.9310560357</v>
      </c>
      <c r="H36" s="1377"/>
      <c r="I36" s="1378"/>
    </row>
    <row r="37" spans="1:9" ht="15" customHeight="1">
      <c r="A37" s="1394" t="s">
        <v>814</v>
      </c>
      <c r="B37" s="1395">
        <v>0</v>
      </c>
      <c r="C37" s="1396">
        <v>0</v>
      </c>
      <c r="D37" s="1396">
        <v>0</v>
      </c>
      <c r="E37" s="1396">
        <v>0</v>
      </c>
      <c r="F37" s="1396">
        <v>0</v>
      </c>
      <c r="G37" s="1397">
        <v>0</v>
      </c>
      <c r="H37" s="1377"/>
      <c r="I37" s="1378"/>
    </row>
    <row r="38" spans="1:9">
      <c r="A38" s="1398" t="s">
        <v>815</v>
      </c>
      <c r="B38" s="1399">
        <v>731.88166666666666</v>
      </c>
      <c r="C38" s="1397">
        <v>22595251.912490219</v>
      </c>
      <c r="D38" s="1397">
        <v>4575446.0213040551</v>
      </c>
      <c r="E38" s="1397">
        <v>0</v>
      </c>
      <c r="F38" s="1397">
        <v>0</v>
      </c>
      <c r="G38" s="1397">
        <v>27170697.933794275</v>
      </c>
      <c r="H38" s="1384" t="s">
        <v>816</v>
      </c>
      <c r="I38" s="1378"/>
    </row>
    <row r="39" spans="1:9" ht="14.25" customHeight="1">
      <c r="A39" s="1375"/>
      <c r="B39" s="1377"/>
      <c r="C39" s="1377"/>
      <c r="D39" s="1377"/>
      <c r="E39" s="1377"/>
      <c r="F39" s="1377"/>
      <c r="G39" s="1377"/>
      <c r="H39" s="1377"/>
      <c r="I39" s="1378"/>
    </row>
    <row r="40" spans="1:9" ht="14.25" customHeight="1">
      <c r="A40" s="1375"/>
      <c r="B40" s="1377"/>
      <c r="C40" s="1377"/>
      <c r="D40" s="1377"/>
      <c r="E40" s="1377"/>
      <c r="F40" s="1377"/>
      <c r="G40" s="1377"/>
      <c r="H40" s="1377"/>
      <c r="I40" s="1378"/>
    </row>
    <row r="41" spans="1:9">
      <c r="A41" s="1382" t="s">
        <v>817</v>
      </c>
      <c r="B41" s="1377"/>
      <c r="C41" s="1377"/>
      <c r="D41" s="1377"/>
      <c r="E41" s="1377"/>
      <c r="F41" s="1377"/>
      <c r="G41" s="1377"/>
      <c r="H41" s="1377"/>
      <c r="I41" s="1378"/>
    </row>
    <row r="42" spans="1:9">
      <c r="A42" s="1375"/>
      <c r="B42" s="1377"/>
      <c r="C42" s="1377"/>
      <c r="D42" s="1377"/>
      <c r="E42" s="1377"/>
      <c r="F42" s="1377"/>
      <c r="G42" s="1377"/>
      <c r="H42" s="1377"/>
      <c r="I42" s="1378"/>
    </row>
    <row r="43" spans="1:9">
      <c r="A43" s="1400" t="s">
        <v>40</v>
      </c>
      <c r="B43" s="1389" t="s">
        <v>818</v>
      </c>
      <c r="C43" s="1391"/>
      <c r="D43" s="1377"/>
      <c r="E43" s="1377"/>
      <c r="F43" s="1377"/>
      <c r="G43" s="1377"/>
      <c r="H43" s="1377"/>
      <c r="I43" s="1378"/>
    </row>
    <row r="44" spans="1:9" ht="15" customHeight="1">
      <c r="A44" s="1394" t="s">
        <v>819</v>
      </c>
      <c r="B44" s="1401">
        <v>529452</v>
      </c>
      <c r="C44" s="1402"/>
      <c r="D44" s="1377"/>
      <c r="E44" s="1377"/>
      <c r="F44" s="1377"/>
      <c r="G44" s="1377"/>
      <c r="H44" s="1377"/>
      <c r="I44" s="1378"/>
    </row>
    <row r="45" spans="1:9" ht="15" customHeight="1">
      <c r="A45" s="1394" t="s">
        <v>820</v>
      </c>
      <c r="B45" s="1401">
        <v>9509744.2768279947</v>
      </c>
      <c r="C45" s="1402"/>
      <c r="D45" s="1377"/>
      <c r="E45" s="1377"/>
      <c r="F45" s="1377"/>
      <c r="G45" s="1377"/>
      <c r="H45" s="1377"/>
      <c r="I45" s="1378"/>
    </row>
    <row r="46" spans="1:9">
      <c r="A46" s="1398" t="s">
        <v>821</v>
      </c>
      <c r="B46" s="1403">
        <v>10039196.276827995</v>
      </c>
      <c r="C46" s="1404"/>
      <c r="D46" s="1377"/>
      <c r="E46" s="1377"/>
      <c r="F46" s="1377"/>
      <c r="G46" s="1405"/>
      <c r="H46" s="1377"/>
      <c r="I46" s="1378"/>
    </row>
    <row r="47" spans="1:9" ht="14.25" customHeight="1">
      <c r="A47" s="1375"/>
      <c r="B47" s="1377"/>
      <c r="C47" s="1377"/>
      <c r="D47" s="1377"/>
      <c r="E47" s="1377"/>
      <c r="F47" s="1377"/>
      <c r="G47" s="1377"/>
      <c r="H47" s="1377"/>
      <c r="I47" s="1378"/>
    </row>
    <row r="48" spans="1:9" ht="14.25" customHeight="1">
      <c r="A48" s="1375"/>
      <c r="B48" s="1377"/>
      <c r="C48" s="1377"/>
      <c r="D48" s="1377"/>
      <c r="E48" s="1377"/>
      <c r="F48" s="1377"/>
      <c r="G48" s="1377"/>
      <c r="H48" s="1377"/>
      <c r="I48" s="1378"/>
    </row>
    <row r="49" spans="1:9" ht="15.75" thickBot="1">
      <c r="A49" s="1375" t="s">
        <v>822</v>
      </c>
      <c r="B49" s="1377"/>
      <c r="C49" s="1377"/>
      <c r="D49" s="1377"/>
      <c r="E49" s="1377"/>
      <c r="F49" s="1377"/>
      <c r="G49" s="1377"/>
      <c r="H49" s="1377"/>
      <c r="I49" s="1378"/>
    </row>
    <row r="50" spans="1:9">
      <c r="A50" s="1372"/>
      <c r="B50" s="1373"/>
      <c r="C50" s="1373"/>
      <c r="D50" s="1373"/>
      <c r="E50" s="1373"/>
      <c r="F50" s="1373"/>
      <c r="G50" s="1374"/>
      <c r="H50" s="1377"/>
      <c r="I50" s="1378"/>
    </row>
    <row r="51" spans="1:9">
      <c r="A51" s="1375"/>
      <c r="B51" s="1377"/>
      <c r="C51" s="1377"/>
      <c r="D51" s="1377"/>
      <c r="E51" s="1377"/>
      <c r="F51" s="1377"/>
      <c r="G51" s="1378"/>
      <c r="H51" s="1377"/>
      <c r="I51" s="1378"/>
    </row>
    <row r="52" spans="1:9">
      <c r="A52" s="1375"/>
      <c r="B52" s="1377"/>
      <c r="C52" s="1377"/>
      <c r="D52" s="1377"/>
      <c r="E52" s="1377"/>
      <c r="F52" s="1377"/>
      <c r="G52" s="1378"/>
      <c r="H52" s="1377"/>
      <c r="I52" s="1378"/>
    </row>
    <row r="53" spans="1:9" ht="15.75" thickBot="1">
      <c r="A53" s="1406"/>
      <c r="B53" s="1407"/>
      <c r="C53" s="1407"/>
      <c r="D53" s="1407"/>
      <c r="E53" s="1407"/>
      <c r="F53" s="1407"/>
      <c r="G53" s="1408"/>
      <c r="H53" s="1377"/>
      <c r="I53" s="1378"/>
    </row>
    <row r="54" spans="1:9" ht="15" customHeight="1" thickBot="1">
      <c r="A54" s="1406"/>
      <c r="B54" s="1407"/>
      <c r="C54" s="1407"/>
      <c r="D54" s="1407"/>
      <c r="E54" s="1407"/>
      <c r="F54" s="1407"/>
      <c r="G54" s="1407"/>
      <c r="H54" s="1407"/>
      <c r="I54" s="1408"/>
    </row>
    <row r="55" spans="1:9" ht="13.5" customHeight="1">
      <c r="A55" s="1377"/>
      <c r="B55" s="1377"/>
      <c r="C55" s="1377"/>
      <c r="D55" s="1377"/>
      <c r="E55" s="1377"/>
      <c r="F55" s="1377"/>
      <c r="G55" s="1377"/>
      <c r="H55" s="1377"/>
      <c r="I55" s="1377"/>
    </row>
    <row r="56" spans="1:9" ht="13.5" customHeight="1">
      <c r="A56" s="1412" t="s">
        <v>823</v>
      </c>
      <c r="B56" s="1409"/>
      <c r="C56" s="1371"/>
      <c r="D56" s="1371"/>
      <c r="E56" s="1371"/>
      <c r="F56" s="1371"/>
      <c r="G56" s="1371"/>
      <c r="H56" s="1371"/>
      <c r="I56" s="1371"/>
    </row>
    <row r="57" spans="1:9" ht="12" customHeight="1">
      <c r="A57" s="1413" t="s">
        <v>824</v>
      </c>
      <c r="B57" s="1410"/>
      <c r="C57" s="1371"/>
      <c r="D57" s="1371"/>
      <c r="E57" s="1371"/>
      <c r="F57" s="1371"/>
      <c r="G57" s="1371"/>
      <c r="H57" s="1371"/>
      <c r="I57" s="1371"/>
    </row>
    <row r="58" spans="1:9" ht="12" customHeight="1">
      <c r="A58" s="1413" t="s">
        <v>825</v>
      </c>
      <c r="B58" s="1410"/>
      <c r="C58" s="1371"/>
      <c r="D58" s="1371"/>
      <c r="E58" s="1371"/>
      <c r="F58" s="1371"/>
      <c r="G58" s="1371"/>
      <c r="H58" s="1371"/>
      <c r="I58" s="1371"/>
    </row>
    <row r="59" spans="1:9" ht="12" customHeight="1">
      <c r="A59" s="1413" t="s">
        <v>826</v>
      </c>
      <c r="B59" s="1410"/>
      <c r="C59" s="1371"/>
      <c r="D59" s="1371"/>
      <c r="E59" s="1371"/>
      <c r="F59" s="1371"/>
      <c r="G59" s="1371"/>
      <c r="H59" s="1371"/>
      <c r="I59" s="1371"/>
    </row>
    <row r="60" spans="1:9" ht="13.5" customHeight="1"/>
  </sheetData>
  <mergeCells count="16">
    <mergeCell ref="A7:I7"/>
    <mergeCell ref="B43:C43"/>
    <mergeCell ref="B44:C44"/>
    <mergeCell ref="B45:C45"/>
    <mergeCell ref="B46:C46"/>
    <mergeCell ref="B21:F21"/>
    <mergeCell ref="D23:E23"/>
    <mergeCell ref="D25:E25"/>
    <mergeCell ref="A2:I2"/>
    <mergeCell ref="A3:H3"/>
    <mergeCell ref="A4:H4"/>
    <mergeCell ref="A5:I5"/>
    <mergeCell ref="A6:I6"/>
    <mergeCell ref="A30:A31"/>
    <mergeCell ref="B30:B31"/>
    <mergeCell ref="C30:G30"/>
  </mergeCells>
  <printOptions horizontalCentered="1"/>
  <pageMargins left="0" right="0" top="0.98425196850393704" bottom="0.55118110236220474" header="0.31496062992125984" footer="0.31496062992125984"/>
  <pageSetup paperSize="9" scale="77" orientation="portrait" r:id="rId1"/>
  <drawing r:id="rId2"/>
</worksheet>
</file>

<file path=xl/worksheets/sheet16.xml><?xml version="1.0" encoding="utf-8"?>
<worksheet xmlns="http://schemas.openxmlformats.org/spreadsheetml/2006/main" xmlns:r="http://schemas.openxmlformats.org/officeDocument/2006/relationships">
  <sheetPr>
    <tabColor rgb="FFFFFF00"/>
  </sheetPr>
  <dimension ref="B3:D105"/>
  <sheetViews>
    <sheetView workbookViewId="0">
      <selection activeCell="D94" sqref="D94:D105"/>
    </sheetView>
  </sheetViews>
  <sheetFormatPr baseColWidth="10" defaultColWidth="11.42578125" defaultRowHeight="12.75"/>
  <cols>
    <col min="1" max="1" width="11.42578125" style="425"/>
    <col min="2" max="2" width="96" style="425" bestFit="1" customWidth="1"/>
    <col min="3" max="16384" width="11.42578125" style="425"/>
  </cols>
  <sheetData>
    <row r="3" spans="2:3">
      <c r="B3" s="425" t="s">
        <v>423</v>
      </c>
    </row>
    <row r="4" spans="2:3">
      <c r="B4" s="426" t="s">
        <v>419</v>
      </c>
    </row>
    <row r="5" spans="2:3">
      <c r="B5" s="426" t="s">
        <v>420</v>
      </c>
    </row>
    <row r="6" spans="2:3">
      <c r="B6" s="426" t="s">
        <v>421</v>
      </c>
    </row>
    <row r="11" spans="2:3">
      <c r="B11" s="426" t="s">
        <v>422</v>
      </c>
      <c r="C11" s="425" t="s">
        <v>567</v>
      </c>
    </row>
    <row r="82" spans="4:4">
      <c r="D82" s="425">
        <v>43819.3</v>
      </c>
    </row>
    <row r="83" spans="4:4">
      <c r="D83" s="425">
        <v>43819.299999999996</v>
      </c>
    </row>
    <row r="84" spans="4:4">
      <c r="D84" s="425">
        <v>43819.3</v>
      </c>
    </row>
    <row r="85" spans="4:4">
      <c r="D85" s="425">
        <v>43819.3</v>
      </c>
    </row>
    <row r="86" spans="4:4">
      <c r="D86" s="425">
        <v>43819.299999999996</v>
      </c>
    </row>
    <row r="87" spans="4:4">
      <c r="D87" s="425">
        <v>43819.3</v>
      </c>
    </row>
    <row r="88" spans="4:4">
      <c r="D88" s="425">
        <v>43819.299999999996</v>
      </c>
    </row>
    <row r="89" spans="4:4">
      <c r="D89" s="425">
        <v>43819.3</v>
      </c>
    </row>
    <row r="90" spans="4:4">
      <c r="D90" s="425">
        <v>43819.3</v>
      </c>
    </row>
    <row r="91" spans="4:4">
      <c r="D91" s="425">
        <v>43819.299999999996</v>
      </c>
    </row>
    <row r="92" spans="4:4">
      <c r="D92" s="425">
        <v>43819.299999999996</v>
      </c>
    </row>
    <row r="93" spans="4:4">
      <c r="D93" s="425">
        <v>43819.299999999996</v>
      </c>
    </row>
    <row r="94" spans="4:4">
      <c r="D94" s="425">
        <v>43819.3</v>
      </c>
    </row>
    <row r="95" spans="4:4">
      <c r="D95" s="425">
        <v>43819.299999999996</v>
      </c>
    </row>
    <row r="96" spans="4:4">
      <c r="D96" s="425">
        <v>43819.299999999996</v>
      </c>
    </row>
    <row r="97" spans="4:4">
      <c r="D97" s="425">
        <v>43819.3</v>
      </c>
    </row>
    <row r="98" spans="4:4">
      <c r="D98" s="425">
        <v>43819.299999999996</v>
      </c>
    </row>
    <row r="99" spans="4:4">
      <c r="D99" s="425">
        <v>43819.3</v>
      </c>
    </row>
    <row r="100" spans="4:4">
      <c r="D100" s="425">
        <v>43819.3</v>
      </c>
    </row>
    <row r="101" spans="4:4">
      <c r="D101" s="425">
        <v>43819.299999999996</v>
      </c>
    </row>
    <row r="102" spans="4:4">
      <c r="D102" s="425">
        <v>43819.3</v>
      </c>
    </row>
    <row r="103" spans="4:4">
      <c r="D103" s="425">
        <v>43819.299999999996</v>
      </c>
    </row>
    <row r="104" spans="4:4">
      <c r="D104" s="425">
        <v>43819.3</v>
      </c>
    </row>
    <row r="105" spans="4:4">
      <c r="D105" s="425">
        <v>43819.3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sheetPr>
    <tabColor theme="0" tint="-0.34998626667073579"/>
  </sheetPr>
  <dimension ref="A1:CO239"/>
  <sheetViews>
    <sheetView zoomScaleNormal="100" workbookViewId="0">
      <pane xSplit="3" ySplit="4" topLeftCell="AO111" activePane="bottomRight" state="frozen"/>
      <selection activeCell="CH60" sqref="CH60"/>
      <selection pane="topRight" activeCell="CH60" sqref="CH60"/>
      <selection pane="bottomLeft" activeCell="CH60" sqref="CH60"/>
      <selection pane="bottomRight" activeCell="AU118" sqref="AU118"/>
    </sheetView>
  </sheetViews>
  <sheetFormatPr baseColWidth="10" defaultColWidth="11.42578125" defaultRowHeight="11.25" outlineLevelCol="1"/>
  <cols>
    <col min="1" max="1" width="6" style="17" customWidth="1"/>
    <col min="2" max="2" width="24.28515625" style="17" bestFit="1" customWidth="1"/>
    <col min="3" max="3" width="26.5703125" style="17" customWidth="1"/>
    <col min="4" max="15" width="8.140625" style="17" customWidth="1" outlineLevel="1"/>
    <col min="16" max="24" width="8.140625" style="17" hidden="1" customWidth="1"/>
    <col min="25" max="50" width="8.140625" style="17" customWidth="1" outlineLevel="1"/>
    <col min="51" max="51" width="7.7109375" style="17" customWidth="1"/>
    <col min="52" max="52" width="6.28515625" style="17" customWidth="1"/>
    <col min="53" max="53" width="7.7109375" style="17" customWidth="1"/>
    <col min="54" max="54" width="6.28515625" style="17" customWidth="1"/>
    <col min="55" max="55" width="7.7109375" style="17" customWidth="1"/>
    <col min="56" max="56" width="6.28515625" style="17" customWidth="1"/>
    <col min="57" max="59" width="7.7109375" style="17" hidden="1" customWidth="1"/>
    <col min="60" max="62" width="7.7109375" style="17" customWidth="1" outlineLevel="1"/>
    <col min="63" max="63" width="7.7109375" style="17" customWidth="1"/>
    <col min="64" max="64" width="6.28515625" style="17" customWidth="1"/>
    <col min="65" max="65" width="7.7109375" style="17" customWidth="1"/>
    <col min="66" max="66" width="6.28515625" style="17" customWidth="1"/>
    <col min="67" max="67" width="7.7109375" style="17" customWidth="1"/>
    <col min="68" max="68" width="6.28515625" style="17" customWidth="1"/>
    <col min="69" max="80" width="8.140625" style="17" customWidth="1" outlineLevel="1"/>
    <col min="81" max="81" width="5.140625" style="17" customWidth="1" outlineLevel="1"/>
    <col min="82" max="82" width="8.140625" style="17" customWidth="1"/>
    <col min="83" max="83" width="12" style="17" customWidth="1"/>
    <col min="84" max="84" width="8.140625" style="17" customWidth="1"/>
    <col min="85" max="87" width="11.42578125" style="17"/>
    <col min="88" max="88" width="12.140625" style="17" customWidth="1"/>
    <col min="89" max="91" width="12.140625" style="116" customWidth="1"/>
    <col min="92" max="93" width="12.85546875" style="116" bestFit="1" customWidth="1"/>
    <col min="94" max="16384" width="11.42578125" style="17"/>
  </cols>
  <sheetData>
    <row r="1" spans="1:93" ht="12.75" thickBot="1">
      <c r="A1" s="205" t="s">
        <v>273</v>
      </c>
      <c r="BH1" s="606">
        <v>2.5000000000000001E-2</v>
      </c>
      <c r="BI1" s="17" t="s">
        <v>307</v>
      </c>
    </row>
    <row r="2" spans="1:93" s="18" customFormat="1">
      <c r="D2" s="19" t="s">
        <v>115</v>
      </c>
      <c r="E2" s="20"/>
      <c r="F2" s="20"/>
      <c r="G2" s="20"/>
      <c r="H2" s="20"/>
      <c r="I2" s="21"/>
      <c r="J2" s="22" t="s">
        <v>111</v>
      </c>
      <c r="K2" s="23"/>
      <c r="L2" s="23"/>
      <c r="M2" s="23"/>
      <c r="N2" s="23"/>
      <c r="O2" s="24"/>
      <c r="P2" s="25" t="s">
        <v>116</v>
      </c>
      <c r="Q2" s="26"/>
      <c r="R2" s="27"/>
      <c r="S2" s="28" t="s">
        <v>114</v>
      </c>
      <c r="T2" s="29"/>
      <c r="U2" s="29"/>
      <c r="V2" s="29"/>
      <c r="W2" s="29"/>
      <c r="X2" s="30"/>
      <c r="Y2" s="29" t="s">
        <v>121</v>
      </c>
      <c r="Z2" s="29"/>
      <c r="AA2" s="29"/>
      <c r="AB2" s="29"/>
      <c r="AC2" s="29"/>
      <c r="AD2" s="29"/>
      <c r="AE2" s="29"/>
      <c r="AF2" s="29"/>
      <c r="AG2" s="29"/>
      <c r="AH2" s="29"/>
      <c r="AI2" s="29"/>
      <c r="AJ2" s="29"/>
      <c r="AK2" s="31" t="s">
        <v>122</v>
      </c>
      <c r="AL2" s="32"/>
      <c r="AM2" s="32"/>
      <c r="AN2" s="32"/>
      <c r="AO2" s="32"/>
      <c r="AP2" s="32"/>
      <c r="AQ2" s="32"/>
      <c r="AR2" s="32"/>
      <c r="AS2" s="32"/>
      <c r="AT2" s="32"/>
      <c r="AU2" s="32"/>
      <c r="AV2" s="33"/>
      <c r="AW2" s="101" t="s">
        <v>123</v>
      </c>
      <c r="AX2" s="31"/>
      <c r="AY2" s="598" t="s">
        <v>105</v>
      </c>
      <c r="AZ2" s="597"/>
      <c r="BA2" s="597"/>
      <c r="BB2" s="597"/>
      <c r="BC2" s="597"/>
      <c r="BD2" s="618"/>
      <c r="BE2" s="597" t="s">
        <v>134</v>
      </c>
      <c r="BF2" s="597"/>
      <c r="BG2" s="597"/>
      <c r="BH2" s="598" t="s">
        <v>132</v>
      </c>
      <c r="BI2" s="599" t="s">
        <v>123</v>
      </c>
      <c r="BJ2" s="599"/>
      <c r="BK2" s="619" t="s">
        <v>110</v>
      </c>
      <c r="BL2" s="597"/>
      <c r="BM2" s="597"/>
      <c r="BN2" s="597"/>
      <c r="BO2" s="597"/>
      <c r="BP2" s="620"/>
      <c r="BQ2" s="34" t="s">
        <v>122</v>
      </c>
      <c r="BR2" s="34"/>
      <c r="BS2" s="34"/>
      <c r="BT2" s="34"/>
      <c r="BU2" s="34"/>
      <c r="BV2" s="34"/>
      <c r="BW2" s="34"/>
      <c r="BX2" s="34"/>
      <c r="BY2" s="34"/>
      <c r="BZ2" s="34"/>
      <c r="CA2" s="34"/>
      <c r="CB2" s="35"/>
      <c r="CD2" s="25" t="s">
        <v>135</v>
      </c>
      <c r="CE2" s="26"/>
      <c r="CF2" s="27"/>
      <c r="CK2" s="148"/>
      <c r="CL2" s="148"/>
      <c r="CM2" s="148"/>
      <c r="CN2" s="148"/>
      <c r="CO2" s="148"/>
    </row>
    <row r="3" spans="1:93" s="36" customFormat="1" ht="12" thickBot="1">
      <c r="C3" s="36" t="s">
        <v>900</v>
      </c>
      <c r="D3" s="37" t="s">
        <v>106</v>
      </c>
      <c r="E3" s="38"/>
      <c r="F3" s="38" t="s">
        <v>107</v>
      </c>
      <c r="G3" s="38"/>
      <c r="H3" s="38" t="s">
        <v>104</v>
      </c>
      <c r="I3" s="39"/>
      <c r="J3" s="40" t="s">
        <v>106</v>
      </c>
      <c r="K3" s="41"/>
      <c r="L3" s="41" t="s">
        <v>107</v>
      </c>
      <c r="M3" s="41"/>
      <c r="N3" s="41" t="s">
        <v>104</v>
      </c>
      <c r="O3" s="42"/>
      <c r="P3" s="43" t="s">
        <v>106</v>
      </c>
      <c r="Q3" s="44" t="s">
        <v>107</v>
      </c>
      <c r="R3" s="45" t="s">
        <v>104</v>
      </c>
      <c r="S3" s="46" t="s">
        <v>106</v>
      </c>
      <c r="T3" s="47"/>
      <c r="U3" s="47" t="s">
        <v>107</v>
      </c>
      <c r="V3" s="47"/>
      <c r="W3" s="47" t="s">
        <v>104</v>
      </c>
      <c r="X3" s="48"/>
      <c r="Y3" s="47" t="s">
        <v>120</v>
      </c>
      <c r="Z3" s="47" t="s">
        <v>120</v>
      </c>
      <c r="AA3" s="47" t="s">
        <v>120</v>
      </c>
      <c r="AB3" s="47" t="s">
        <v>120</v>
      </c>
      <c r="AC3" s="47" t="s">
        <v>120</v>
      </c>
      <c r="AD3" s="47" t="s">
        <v>120</v>
      </c>
      <c r="AE3" s="47" t="s">
        <v>120</v>
      </c>
      <c r="AF3" s="47" t="s">
        <v>120</v>
      </c>
      <c r="AG3" s="47" t="s">
        <v>120</v>
      </c>
      <c r="AH3" s="47" t="s">
        <v>120</v>
      </c>
      <c r="AI3" s="47" t="s">
        <v>120</v>
      </c>
      <c r="AJ3" s="96" t="s">
        <v>120</v>
      </c>
      <c r="AK3" s="49" t="s">
        <v>120</v>
      </c>
      <c r="AL3" s="50" t="s">
        <v>120</v>
      </c>
      <c r="AM3" s="50" t="s">
        <v>120</v>
      </c>
      <c r="AN3" s="50" t="s">
        <v>120</v>
      </c>
      <c r="AO3" s="50" t="s">
        <v>120</v>
      </c>
      <c r="AP3" s="50" t="s">
        <v>120</v>
      </c>
      <c r="AQ3" s="50" t="s">
        <v>120</v>
      </c>
      <c r="AR3" s="50" t="s">
        <v>120</v>
      </c>
      <c r="AS3" s="50" t="s">
        <v>120</v>
      </c>
      <c r="AT3" s="50" t="s">
        <v>120</v>
      </c>
      <c r="AU3" s="50" t="s">
        <v>120</v>
      </c>
      <c r="AV3" s="51" t="s">
        <v>120</v>
      </c>
      <c r="AW3" s="102" t="s">
        <v>124</v>
      </c>
      <c r="AX3" s="577" t="s">
        <v>126</v>
      </c>
      <c r="AY3" s="621" t="s">
        <v>106</v>
      </c>
      <c r="AZ3" s="596"/>
      <c r="BA3" s="595" t="s">
        <v>107</v>
      </c>
      <c r="BB3" s="596"/>
      <c r="BC3" s="600" t="s">
        <v>104</v>
      </c>
      <c r="BD3" s="601"/>
      <c r="BE3" s="601" t="s">
        <v>106</v>
      </c>
      <c r="BF3" s="602" t="s">
        <v>107</v>
      </c>
      <c r="BG3" s="600" t="s">
        <v>104</v>
      </c>
      <c r="BH3" s="603" t="s">
        <v>55</v>
      </c>
      <c r="BI3" s="604" t="s">
        <v>124</v>
      </c>
      <c r="BJ3" s="604" t="s">
        <v>124</v>
      </c>
      <c r="BK3" s="595" t="s">
        <v>106</v>
      </c>
      <c r="BL3" s="596"/>
      <c r="BM3" s="595" t="s">
        <v>107</v>
      </c>
      <c r="BN3" s="596"/>
      <c r="BO3" s="600" t="s">
        <v>104</v>
      </c>
      <c r="BP3" s="622"/>
      <c r="BQ3" s="579" t="s">
        <v>120</v>
      </c>
      <c r="BR3" s="52" t="s">
        <v>120</v>
      </c>
      <c r="BS3" s="52" t="s">
        <v>120</v>
      </c>
      <c r="BT3" s="52" t="s">
        <v>120</v>
      </c>
      <c r="BU3" s="52" t="s">
        <v>120</v>
      </c>
      <c r="BV3" s="52" t="s">
        <v>120</v>
      </c>
      <c r="BW3" s="52" t="s">
        <v>120</v>
      </c>
      <c r="BX3" s="52" t="s">
        <v>120</v>
      </c>
      <c r="BY3" s="52" t="s">
        <v>120</v>
      </c>
      <c r="BZ3" s="52" t="s">
        <v>120</v>
      </c>
      <c r="CA3" s="52" t="s">
        <v>120</v>
      </c>
      <c r="CB3" s="53" t="s">
        <v>120</v>
      </c>
      <c r="CD3" s="43" t="s">
        <v>106</v>
      </c>
      <c r="CE3" s="44" t="s">
        <v>107</v>
      </c>
      <c r="CF3" s="45" t="s">
        <v>104</v>
      </c>
      <c r="CK3" s="149"/>
      <c r="CL3" s="149"/>
      <c r="CM3" s="149"/>
      <c r="CN3" s="149"/>
      <c r="CO3" s="149"/>
    </row>
    <row r="4" spans="1:93" s="36" customFormat="1" ht="12" thickBot="1">
      <c r="B4" s="640" t="s">
        <v>112</v>
      </c>
      <c r="C4" s="642" t="s">
        <v>895</v>
      </c>
      <c r="D4" s="56" t="s">
        <v>108</v>
      </c>
      <c r="E4" s="57" t="s">
        <v>109</v>
      </c>
      <c r="F4" s="57" t="s">
        <v>108</v>
      </c>
      <c r="G4" s="57" t="s">
        <v>109</v>
      </c>
      <c r="H4" s="57" t="s">
        <v>108</v>
      </c>
      <c r="I4" s="58" t="s">
        <v>109</v>
      </c>
      <c r="J4" s="59" t="s">
        <v>108</v>
      </c>
      <c r="K4" s="60" t="s">
        <v>109</v>
      </c>
      <c r="L4" s="60" t="s">
        <v>108</v>
      </c>
      <c r="M4" s="60" t="s">
        <v>109</v>
      </c>
      <c r="N4" s="60" t="s">
        <v>108</v>
      </c>
      <c r="O4" s="61" t="s">
        <v>109</v>
      </c>
      <c r="P4" s="62" t="s">
        <v>108</v>
      </c>
      <c r="Q4" s="63" t="s">
        <v>108</v>
      </c>
      <c r="R4" s="64" t="s">
        <v>108</v>
      </c>
      <c r="S4" s="65" t="s">
        <v>108</v>
      </c>
      <c r="T4" s="66" t="s">
        <v>109</v>
      </c>
      <c r="U4" s="66" t="s">
        <v>108</v>
      </c>
      <c r="V4" s="66" t="s">
        <v>109</v>
      </c>
      <c r="W4" s="66" t="s">
        <v>108</v>
      </c>
      <c r="X4" s="67" t="s">
        <v>109</v>
      </c>
      <c r="Y4" s="66">
        <v>1</v>
      </c>
      <c r="Z4" s="66">
        <v>2</v>
      </c>
      <c r="AA4" s="66">
        <v>3</v>
      </c>
      <c r="AB4" s="66">
        <v>4</v>
      </c>
      <c r="AC4" s="66">
        <v>5</v>
      </c>
      <c r="AD4" s="66">
        <v>6</v>
      </c>
      <c r="AE4" s="66">
        <v>7</v>
      </c>
      <c r="AF4" s="66">
        <v>8</v>
      </c>
      <c r="AG4" s="66">
        <v>9</v>
      </c>
      <c r="AH4" s="66">
        <v>10</v>
      </c>
      <c r="AI4" s="66">
        <v>11</v>
      </c>
      <c r="AJ4" s="97">
        <v>12</v>
      </c>
      <c r="AK4" s="68">
        <v>1</v>
      </c>
      <c r="AL4" s="69">
        <v>2</v>
      </c>
      <c r="AM4" s="69">
        <v>3</v>
      </c>
      <c r="AN4" s="69">
        <v>4</v>
      </c>
      <c r="AO4" s="69">
        <v>5</v>
      </c>
      <c r="AP4" s="69">
        <v>6</v>
      </c>
      <c r="AQ4" s="69">
        <v>7</v>
      </c>
      <c r="AR4" s="69">
        <v>8</v>
      </c>
      <c r="AS4" s="69">
        <v>9</v>
      </c>
      <c r="AT4" s="69">
        <v>10</v>
      </c>
      <c r="AU4" s="69">
        <v>11</v>
      </c>
      <c r="AV4" s="70">
        <v>12</v>
      </c>
      <c r="AW4" s="104" t="s">
        <v>125</v>
      </c>
      <c r="AX4" s="578" t="s">
        <v>127</v>
      </c>
      <c r="AY4" s="623" t="s">
        <v>108</v>
      </c>
      <c r="AZ4" s="624" t="s">
        <v>109</v>
      </c>
      <c r="BA4" s="624" t="s">
        <v>108</v>
      </c>
      <c r="BB4" s="624" t="s">
        <v>109</v>
      </c>
      <c r="BC4" s="624" t="s">
        <v>108</v>
      </c>
      <c r="BD4" s="624" t="s">
        <v>109</v>
      </c>
      <c r="BE4" s="625" t="s">
        <v>108</v>
      </c>
      <c r="BF4" s="624" t="s">
        <v>108</v>
      </c>
      <c r="BG4" s="626" t="s">
        <v>108</v>
      </c>
      <c r="BH4" s="623" t="s">
        <v>133</v>
      </c>
      <c r="BI4" s="627" t="s">
        <v>130</v>
      </c>
      <c r="BJ4" s="628" t="s">
        <v>131</v>
      </c>
      <c r="BK4" s="624" t="s">
        <v>108</v>
      </c>
      <c r="BL4" s="624" t="s">
        <v>109</v>
      </c>
      <c r="BM4" s="624" t="s">
        <v>108</v>
      </c>
      <c r="BN4" s="624" t="s">
        <v>109</v>
      </c>
      <c r="BO4" s="624" t="s">
        <v>108</v>
      </c>
      <c r="BP4" s="629" t="s">
        <v>109</v>
      </c>
      <c r="BQ4" s="605">
        <v>1</v>
      </c>
      <c r="BR4" s="71">
        <v>2</v>
      </c>
      <c r="BS4" s="71">
        <v>3</v>
      </c>
      <c r="BT4" s="71">
        <v>4</v>
      </c>
      <c r="BU4" s="71">
        <v>5</v>
      </c>
      <c r="BV4" s="71">
        <v>6</v>
      </c>
      <c r="BW4" s="71">
        <v>7</v>
      </c>
      <c r="BX4" s="71">
        <v>8</v>
      </c>
      <c r="BY4" s="71">
        <v>9</v>
      </c>
      <c r="BZ4" s="71">
        <v>10</v>
      </c>
      <c r="CA4" s="71">
        <v>11</v>
      </c>
      <c r="CB4" s="72">
        <v>12</v>
      </c>
      <c r="CD4" s="62" t="s">
        <v>108</v>
      </c>
      <c r="CE4" s="63" t="s">
        <v>108</v>
      </c>
      <c r="CF4" s="64" t="s">
        <v>108</v>
      </c>
      <c r="CJ4" s="490" t="s">
        <v>579</v>
      </c>
      <c r="CK4" s="149"/>
      <c r="CL4" s="149"/>
      <c r="CM4" s="149"/>
      <c r="CN4" s="149"/>
      <c r="CO4" s="149"/>
    </row>
    <row r="5" spans="1:93" s="217" customFormat="1" ht="22.5" customHeight="1">
      <c r="B5" s="283" t="s">
        <v>58</v>
      </c>
      <c r="C5" s="643" t="s">
        <v>83</v>
      </c>
      <c r="D5" s="284">
        <v>3458.8020000000001</v>
      </c>
      <c r="E5" s="296">
        <f t="shared" ref="E5:E29" si="0">D5/D$33</f>
        <v>0.17094012616488977</v>
      </c>
      <c r="F5" s="286">
        <v>0</v>
      </c>
      <c r="G5" s="285">
        <f t="shared" ref="G5:G29" si="1">F5/F$33</f>
        <v>0</v>
      </c>
      <c r="H5" s="286">
        <v>3458.8020000000001</v>
      </c>
      <c r="I5" s="294">
        <f>H5/H$33</f>
        <v>0.15056972288752929</v>
      </c>
      <c r="J5" s="284">
        <v>3298.0740000000001</v>
      </c>
      <c r="K5" s="296">
        <f t="shared" ref="K5:K33" si="2">J5/J$33</f>
        <v>0.14383291822026065</v>
      </c>
      <c r="L5" s="286">
        <v>0</v>
      </c>
      <c r="M5" s="285">
        <f t="shared" ref="M5:M33" si="3">L5/L$33</f>
        <v>0</v>
      </c>
      <c r="N5" s="286">
        <v>3298.0740000000001</v>
      </c>
      <c r="O5" s="294">
        <f t="shared" ref="O5:O33" si="4">N5/N$33</f>
        <v>0.13247213116808509</v>
      </c>
      <c r="P5" s="285">
        <f>IFERROR(J5/D5-1,0)</f>
        <v>-4.646926883932645E-2</v>
      </c>
      <c r="Q5" s="286">
        <f>IFERROR(L5/F5-1,0)</f>
        <v>0</v>
      </c>
      <c r="R5" s="285">
        <f>IFERROR(N5/H5-1,0)</f>
        <v>-4.646926883932645E-2</v>
      </c>
      <c r="S5" s="284">
        <v>5241.277</v>
      </c>
      <c r="T5" s="285">
        <f>S5/S$33</f>
        <v>0.16747664286031536</v>
      </c>
      <c r="U5" s="286">
        <v>0</v>
      </c>
      <c r="V5" s="285">
        <f>U5/U$33</f>
        <v>0</v>
      </c>
      <c r="W5" s="286">
        <v>5241.277</v>
      </c>
      <c r="X5" s="287">
        <f t="shared" ref="X5:X29" si="5">W5/W$33</f>
        <v>0.1483174737387809</v>
      </c>
      <c r="Y5" s="286">
        <v>471.66300000000001</v>
      </c>
      <c r="Z5" s="286">
        <v>415.89100000000002</v>
      </c>
      <c r="AA5" s="286">
        <v>445.97300000000001</v>
      </c>
      <c r="AB5" s="286">
        <v>425.25599999999997</v>
      </c>
      <c r="AC5" s="286">
        <v>419.286</v>
      </c>
      <c r="AD5" s="286">
        <v>422.911</v>
      </c>
      <c r="AE5" s="286">
        <v>438.31700000000001</v>
      </c>
      <c r="AF5" s="286">
        <v>419.505</v>
      </c>
      <c r="AG5" s="286">
        <v>445.82299999999998</v>
      </c>
      <c r="AH5" s="286">
        <v>447.774</v>
      </c>
      <c r="AI5" s="286">
        <v>436.84199999999998</v>
      </c>
      <c r="AJ5" s="288">
        <v>452.036</v>
      </c>
      <c r="AK5" s="284">
        <v>464.01100000000002</v>
      </c>
      <c r="AL5" s="286">
        <v>406.52100000000002</v>
      </c>
      <c r="AM5" s="286">
        <v>437.59699999999998</v>
      </c>
      <c r="AN5" s="286">
        <v>389.19400000000002</v>
      </c>
      <c r="AO5" s="286">
        <v>402.50400000000002</v>
      </c>
      <c r="AP5" s="286">
        <v>402.39100000000002</v>
      </c>
      <c r="AQ5" s="286">
        <v>416.06400000000002</v>
      </c>
      <c r="AR5" s="286">
        <v>379.79199999999997</v>
      </c>
      <c r="AS5" s="289">
        <f>AVERAGE($AM5:$AQ5)</f>
        <v>409.55000000000007</v>
      </c>
      <c r="AT5" s="289">
        <f t="shared" ref="AT5:AV32" si="6">AVERAGE($AM5:$AQ5)</f>
        <v>409.55000000000007</v>
      </c>
      <c r="AU5" s="289">
        <f t="shared" si="6"/>
        <v>409.55000000000007</v>
      </c>
      <c r="AV5" s="290">
        <f t="shared" si="6"/>
        <v>409.55000000000007</v>
      </c>
      <c r="AW5" s="291">
        <f>IFERROR(L5/J5,0)</f>
        <v>0</v>
      </c>
      <c r="AX5" s="580">
        <f>AW5</f>
        <v>0</v>
      </c>
      <c r="AY5" s="630">
        <f>SUM(AK5:AV5)</f>
        <v>4936.2740000000003</v>
      </c>
      <c r="AZ5" s="631">
        <f>AY5/AY$33</f>
        <v>0.14272588435332614</v>
      </c>
      <c r="BA5" s="632">
        <f>L5+SUM(AS5:AV5)*AX5</f>
        <v>0</v>
      </c>
      <c r="BB5" s="633">
        <f>BA5/BA$33</f>
        <v>0</v>
      </c>
      <c r="BC5" s="632">
        <f>AY5+BA5</f>
        <v>4936.2740000000003</v>
      </c>
      <c r="BD5" s="631">
        <f>BC5/BC$33</f>
        <v>0.13152108676349808</v>
      </c>
      <c r="BE5" s="633">
        <f>IFERROR(AY5/S5-1,0)</f>
        <v>-5.8192497744347316E-2</v>
      </c>
      <c r="BF5" s="632">
        <f>IFERROR(BA5/U5-1,0)</f>
        <v>0</v>
      </c>
      <c r="BG5" s="633">
        <f>IFERROR(BC5/W5-1,0)</f>
        <v>-5.8192497744347316E-2</v>
      </c>
      <c r="BH5" s="634">
        <f>$BH$1</f>
        <v>2.5000000000000001E-2</v>
      </c>
      <c r="BI5" s="633">
        <f>IFERROR(BA5/AY5,0)</f>
        <v>0</v>
      </c>
      <c r="BJ5" s="635">
        <f>BI5</f>
        <v>0</v>
      </c>
      <c r="BK5" s="632">
        <f>AY5*(1+BH5)</f>
        <v>5059.6808499999997</v>
      </c>
      <c r="BL5" s="633">
        <f t="shared" ref="BL5:BL29" si="7">BK5/BK$33</f>
        <v>0.14446028551754417</v>
      </c>
      <c r="BM5" s="636">
        <f>BK5*BJ5</f>
        <v>0</v>
      </c>
      <c r="BN5" s="633">
        <f t="shared" ref="BN5:BN29" si="8">BM5/BM$33</f>
        <v>0</v>
      </c>
      <c r="BO5" s="636">
        <f>BK5+BM5</f>
        <v>5059.6808499999997</v>
      </c>
      <c r="BP5" s="637">
        <f t="shared" ref="BP5:BP29" si="9">BO5/BO$33</f>
        <v>0.13334234810344758</v>
      </c>
      <c r="BQ5" s="583">
        <f>IFERROR($BK5/(SUM($AK5:$AV5))*AK5,0)</f>
        <v>475.61127499999998</v>
      </c>
      <c r="BR5" s="289">
        <f t="shared" ref="BR5:BR32" si="10">IFERROR($BK5/(SUM($AK5:$AV5))*AL5,0)</f>
        <v>416.68402499999996</v>
      </c>
      <c r="BS5" s="289">
        <f t="shared" ref="BS5:BS32" si="11">IFERROR($BK5/(SUM($AK5:$AV5))*AM5,0)</f>
        <v>448.53692499999994</v>
      </c>
      <c r="BT5" s="289">
        <f t="shared" ref="BT5:BT32" si="12">IFERROR($BK5/(SUM($AK5:$AV5))*AN5,0)</f>
        <v>398.92384999999996</v>
      </c>
      <c r="BU5" s="289">
        <f t="shared" ref="BU5:BU32" si="13">IFERROR($BK5/(SUM($AK5:$AV5))*AO5,0)</f>
        <v>412.56659999999999</v>
      </c>
      <c r="BV5" s="289">
        <f t="shared" ref="BV5:BV32" si="14">IFERROR($BK5/(SUM($AK5:$AV5))*AP5,0)</f>
        <v>412.45077499999996</v>
      </c>
      <c r="BW5" s="289">
        <f t="shared" ref="BW5:BW32" si="15">IFERROR($BK5/(SUM($AK5:$AV5))*AQ5,0)</f>
        <v>426.46559999999999</v>
      </c>
      <c r="BX5" s="289">
        <f t="shared" ref="BX5:BX32" si="16">IFERROR($BK5/(SUM($AK5:$AV5))*AR5,0)</f>
        <v>389.28679999999991</v>
      </c>
      <c r="BY5" s="289">
        <f t="shared" ref="BY5:BY32" si="17">IFERROR($BK5/(SUM($AK5:$AV5))*AS5,0)</f>
        <v>419.78875000000005</v>
      </c>
      <c r="BZ5" s="289">
        <f t="shared" ref="BZ5:BZ32" si="18">IFERROR($BK5/(SUM($AK5:$AV5))*AT5,0)</f>
        <v>419.78875000000005</v>
      </c>
      <c r="CA5" s="289">
        <f t="shared" ref="CA5:CA32" si="19">IFERROR($BK5/(SUM($AK5:$AV5))*AU5,0)</f>
        <v>419.78875000000005</v>
      </c>
      <c r="CB5" s="290">
        <f t="shared" ref="CB5:CB32" si="20">IFERROR($BK5/(SUM($AK5:$AV5))*AV5,0)</f>
        <v>419.78875000000005</v>
      </c>
      <c r="CC5" s="275">
        <f>BK5-SUM(BQ5:CB5)</f>
        <v>0</v>
      </c>
      <c r="CD5" s="292">
        <f>IFERROR(BK5/AY5-1,0)</f>
        <v>2.4999999999999911E-2</v>
      </c>
      <c r="CE5" s="293">
        <f>IFERROR(BM5/BA5-1,0)</f>
        <v>0</v>
      </c>
      <c r="CF5" s="294">
        <f>IFERROR(BO5/BC5-1,0)</f>
        <v>2.4999999999999911E-2</v>
      </c>
      <c r="CJ5" s="491">
        <f>SUM(BQ5:BS5)-SUM(AK5:AM5)</f>
        <v>32.703224999999975</v>
      </c>
      <c r="CK5" s="269">
        <f>SUM(BT5:BV5)-SUM(AN5:AP5)</f>
        <v>29.852224999999862</v>
      </c>
      <c r="CL5" s="269">
        <f>SUM(BW5:BY5)-SUM(AQ5:AS5)</f>
        <v>30.135150000000067</v>
      </c>
      <c r="CM5" s="269">
        <f>SUM(BZ5:CB5)-SUM(AT5:AV5)</f>
        <v>30.716249999999945</v>
      </c>
      <c r="CN5" s="492">
        <f>SUM(CJ5:CM5)-(SUM(BQ5:CB5)-SUM(AK5:AV5))</f>
        <v>1.3642420526593924E-12</v>
      </c>
      <c r="CO5" s="220"/>
    </row>
    <row r="6" spans="1:93" ht="22.5" customHeight="1">
      <c r="B6" s="75" t="s">
        <v>59</v>
      </c>
      <c r="C6" s="644" t="s">
        <v>88</v>
      </c>
      <c r="D6" s="77">
        <v>1498.566</v>
      </c>
      <c r="E6" s="139">
        <f t="shared" si="0"/>
        <v>7.4061788187474789E-2</v>
      </c>
      <c r="F6" s="79">
        <v>391.31400000000002</v>
      </c>
      <c r="G6" s="78">
        <f t="shared" si="1"/>
        <v>0.14294919987112018</v>
      </c>
      <c r="H6" s="79">
        <v>1889.88</v>
      </c>
      <c r="I6" s="140">
        <f t="shared" ref="I6:I33" si="21">H6/H$33</f>
        <v>8.2270886824595296E-2</v>
      </c>
      <c r="J6" s="77">
        <v>107.944</v>
      </c>
      <c r="K6" s="139">
        <f t="shared" si="2"/>
        <v>4.7075658473302341E-3</v>
      </c>
      <c r="L6" s="79">
        <v>27.364000000000001</v>
      </c>
      <c r="M6" s="78">
        <f t="shared" si="3"/>
        <v>1.3915332291870077E-2</v>
      </c>
      <c r="N6" s="79">
        <v>135.30799999999999</v>
      </c>
      <c r="O6" s="140">
        <f t="shared" si="4"/>
        <v>5.4348504988339435E-3</v>
      </c>
      <c r="P6" s="78">
        <f t="shared" ref="P6:P33" si="22">IFERROR(J6/D6-1,0)</f>
        <v>-0.92796847119179271</v>
      </c>
      <c r="Q6" s="78">
        <f t="shared" ref="Q6:Q33" si="23">IFERROR(L6/F6-1,0)</f>
        <v>-0.9300715026807117</v>
      </c>
      <c r="R6" s="78">
        <f t="shared" ref="R6:R33" si="24">IFERROR(N6/H6-1,0)</f>
        <v>-0.92840391982559745</v>
      </c>
      <c r="S6" s="77">
        <v>2170.8829999999998</v>
      </c>
      <c r="T6" s="78">
        <f t="shared" ref="T6:V33" si="25">S6/S$33</f>
        <v>6.9367102117008875E-2</v>
      </c>
      <c r="U6" s="79">
        <v>564.59100000000001</v>
      </c>
      <c r="V6" s="78">
        <f t="shared" si="25"/>
        <v>0.13965829429138243</v>
      </c>
      <c r="W6" s="79">
        <v>2735.4740000000002</v>
      </c>
      <c r="X6" s="80">
        <f t="shared" si="5"/>
        <v>7.7408347843114941E-2</v>
      </c>
      <c r="Y6" s="79">
        <v>185.428</v>
      </c>
      <c r="Z6" s="79">
        <v>171.63900000000001</v>
      </c>
      <c r="AA6" s="79">
        <v>197.703</v>
      </c>
      <c r="AB6" s="79">
        <v>196.04400000000001</v>
      </c>
      <c r="AC6" s="79">
        <v>198.71700000000001</v>
      </c>
      <c r="AD6" s="79">
        <v>188.61500000000001</v>
      </c>
      <c r="AE6" s="79">
        <v>187.066</v>
      </c>
      <c r="AF6" s="79">
        <v>173.35400000000001</v>
      </c>
      <c r="AG6" s="79">
        <v>174.32599999999999</v>
      </c>
      <c r="AH6" s="79">
        <v>190.96199999999999</v>
      </c>
      <c r="AI6" s="79">
        <v>180.006</v>
      </c>
      <c r="AJ6" s="110">
        <v>127.023</v>
      </c>
      <c r="AK6" s="77">
        <v>107.101</v>
      </c>
      <c r="AL6" s="79">
        <v>0.24099999999999999</v>
      </c>
      <c r="AM6" s="79">
        <v>0.20200000000000001</v>
      </c>
      <c r="AN6" s="79">
        <v>7.8E-2</v>
      </c>
      <c r="AO6" s="79">
        <v>9.5000000000000001E-2</v>
      </c>
      <c r="AP6" s="79">
        <v>0.1</v>
      </c>
      <c r="AQ6" s="79">
        <v>0.11600000000000001</v>
      </c>
      <c r="AR6" s="79">
        <v>1.0999999999999999E-2</v>
      </c>
      <c r="AS6" s="111">
        <f t="shared" ref="AS6:AS32" si="26">AVERAGE($AM6:$AQ6)</f>
        <v>0.1182</v>
      </c>
      <c r="AT6" s="111">
        <f t="shared" si="6"/>
        <v>0.1182</v>
      </c>
      <c r="AU6" s="111">
        <f t="shared" si="6"/>
        <v>0.1182</v>
      </c>
      <c r="AV6" s="112">
        <f t="shared" si="6"/>
        <v>0.1182</v>
      </c>
      <c r="AW6" s="105">
        <f t="shared" ref="AW6:AW33" si="27">IFERROR(L6/J6,0)</f>
        <v>0.25350181575631808</v>
      </c>
      <c r="AX6" s="581">
        <f t="shared" ref="AX6:AX32" si="28">AW6</f>
        <v>0.25350181575631808</v>
      </c>
      <c r="AY6" s="77">
        <f t="shared" ref="AY6:AY32" si="29">SUM(AK6:AV6)</f>
        <v>108.41679999999999</v>
      </c>
      <c r="AZ6" s="139">
        <f t="shared" ref="AZ6:AZ33" si="30">AY6/AY$33</f>
        <v>3.1347294859964594E-3</v>
      </c>
      <c r="BA6" s="234">
        <f t="shared" ref="BA6:BA32" si="31">L6+SUM(AS6:AV6)*AX6</f>
        <v>27.483855658489588</v>
      </c>
      <c r="BB6" s="78">
        <f t="shared" ref="BB6:BB33" si="32">BA6/BA$33</f>
        <v>9.3276559032026574E-3</v>
      </c>
      <c r="BC6" s="234">
        <f t="shared" ref="BC6:BC32" si="33">AY6+BA6</f>
        <v>135.9006556584896</v>
      </c>
      <c r="BD6" s="139">
        <f t="shared" ref="BD6:BD33" si="34">BC6/BC$33</f>
        <v>3.6209096018730903E-3</v>
      </c>
      <c r="BE6" s="78">
        <f t="shared" ref="BE6:BE33" si="35">IFERROR(AY6/S6-1,0)</f>
        <v>-0.95005866276533557</v>
      </c>
      <c r="BF6" s="78">
        <f t="shared" ref="BF6:BF33" si="36">IFERROR(BA6/U6-1,0)</f>
        <v>-0.95132076909038654</v>
      </c>
      <c r="BG6" s="78">
        <f t="shared" ref="BG6:BG33" si="37">IFERROR(BC6/W6-1,0)</f>
        <v>-0.95031915651236698</v>
      </c>
      <c r="BH6" s="590">
        <v>0</v>
      </c>
      <c r="BI6" s="78">
        <f t="shared" ref="BI6:BI33" si="38">IFERROR(BA6/AY6,0)</f>
        <v>0.25350181575631814</v>
      </c>
      <c r="BJ6" s="591">
        <f t="shared" ref="BJ6:BJ32" si="39">BI6</f>
        <v>0.25350181575631814</v>
      </c>
      <c r="BK6" s="234">
        <f t="shared" ref="BK6:BK32" si="40">AY6*(1+BH6)</f>
        <v>108.41679999999999</v>
      </c>
      <c r="BL6" s="78">
        <f t="shared" si="7"/>
        <v>3.0954367176930699E-3</v>
      </c>
      <c r="BM6" s="234">
        <f t="shared" ref="BM6:BM32" si="41">BK6*BJ6</f>
        <v>27.483855658489592</v>
      </c>
      <c r="BN6" s="78">
        <f t="shared" si="8"/>
        <v>9.4112406328842983E-3</v>
      </c>
      <c r="BO6" s="234">
        <f t="shared" ref="BO6:BO32" si="42">BK6+BM6</f>
        <v>135.9006556584896</v>
      </c>
      <c r="BP6" s="80">
        <f t="shared" si="9"/>
        <v>3.5815129593205638E-3</v>
      </c>
      <c r="BQ6" s="584">
        <f t="shared" ref="BQ6:BQ32" si="43">IFERROR($BK6/(SUM($AK6:$AV6))*AK6,0)</f>
        <v>107.101</v>
      </c>
      <c r="BR6" s="111">
        <f t="shared" si="10"/>
        <v>0.24099999999999999</v>
      </c>
      <c r="BS6" s="111">
        <f t="shared" si="11"/>
        <v>0.20200000000000001</v>
      </c>
      <c r="BT6" s="111">
        <f t="shared" si="12"/>
        <v>7.8E-2</v>
      </c>
      <c r="BU6" s="111">
        <f t="shared" si="13"/>
        <v>9.5000000000000001E-2</v>
      </c>
      <c r="BV6" s="111">
        <f t="shared" si="14"/>
        <v>0.1</v>
      </c>
      <c r="BW6" s="111">
        <f t="shared" si="15"/>
        <v>0.11600000000000001</v>
      </c>
      <c r="BX6" s="111">
        <f t="shared" si="16"/>
        <v>1.0999999999999999E-2</v>
      </c>
      <c r="BY6" s="111">
        <f t="shared" si="17"/>
        <v>0.1182</v>
      </c>
      <c r="BZ6" s="111">
        <f t="shared" si="18"/>
        <v>0.1182</v>
      </c>
      <c r="CA6" s="111">
        <f t="shared" si="19"/>
        <v>0.1182</v>
      </c>
      <c r="CB6" s="112">
        <f t="shared" si="20"/>
        <v>0.1182</v>
      </c>
      <c r="CC6" s="93">
        <f t="shared" ref="CC6:CC32" si="44">BK6-SUM(BQ6:CB6)</f>
        <v>0</v>
      </c>
      <c r="CD6" s="138">
        <f t="shared" ref="CD6:CD33" si="45">IFERROR(BK6/AY6-1,0)</f>
        <v>0</v>
      </c>
      <c r="CE6" s="139">
        <f t="shared" ref="CE6:CE33" si="46">IFERROR(BM6/BA6-1,0)</f>
        <v>2.2204460492503131E-16</v>
      </c>
      <c r="CF6" s="140">
        <f t="shared" ref="CF6:CF33" si="47">IFERROR(BO6/BC6-1,0)</f>
        <v>0</v>
      </c>
      <c r="CJ6" s="491">
        <f t="shared" ref="CJ6:CJ31" si="48">SUM(BQ6:BS6)-SUM(AK6:AM6)</f>
        <v>0</v>
      </c>
      <c r="CK6" s="269">
        <f t="shared" ref="CK6:CK31" si="49">SUM(BT6:BV6)-SUM(AN6:AP6)</f>
        <v>0</v>
      </c>
      <c r="CL6" s="269">
        <f t="shared" ref="CL6:CL31" si="50">SUM(BW6:BY6)-SUM(AQ6:AS6)</f>
        <v>0</v>
      </c>
      <c r="CM6" s="269">
        <f t="shared" ref="CM6:CM31" si="51">SUM(BZ6:CB6)-SUM(AT6:AV6)</f>
        <v>0</v>
      </c>
      <c r="CN6" s="492">
        <f t="shared" ref="CN6:CN33" si="52">SUM(CJ6:CM6)-(SUM(BQ6:CB6)-SUM(AK6:AV6))</f>
        <v>0</v>
      </c>
    </row>
    <row r="7" spans="1:93" ht="22.5" customHeight="1">
      <c r="B7" s="75" t="s">
        <v>60</v>
      </c>
      <c r="C7" s="644" t="s">
        <v>894</v>
      </c>
      <c r="D7" s="77">
        <v>5.7960000000000003</v>
      </c>
      <c r="E7" s="139">
        <f t="shared" si="0"/>
        <v>2.8644859441266109E-4</v>
      </c>
      <c r="F7" s="79">
        <v>7.0000000000000001E-3</v>
      </c>
      <c r="G7" s="78">
        <f t="shared" si="1"/>
        <v>2.5571392771478692E-6</v>
      </c>
      <c r="H7" s="79">
        <v>5.8029999999999999</v>
      </c>
      <c r="I7" s="140">
        <f t="shared" si="21"/>
        <v>2.5261813249683921E-4</v>
      </c>
      <c r="J7" s="77">
        <v>0.39300000000000002</v>
      </c>
      <c r="K7" s="139">
        <f t="shared" si="2"/>
        <v>1.7139196046105222E-5</v>
      </c>
      <c r="L7" s="79">
        <v>0</v>
      </c>
      <c r="M7" s="78">
        <f t="shared" si="3"/>
        <v>0</v>
      </c>
      <c r="N7" s="79">
        <v>0.39300000000000002</v>
      </c>
      <c r="O7" s="140">
        <f t="shared" si="4"/>
        <v>1.578543948651772E-5</v>
      </c>
      <c r="P7" s="78">
        <f t="shared" si="22"/>
        <v>-0.93219461697722572</v>
      </c>
      <c r="Q7" s="78">
        <f t="shared" si="23"/>
        <v>-1</v>
      </c>
      <c r="R7" s="78">
        <f t="shared" si="24"/>
        <v>-0.93227640875409268</v>
      </c>
      <c r="S7" s="77">
        <v>6.02</v>
      </c>
      <c r="T7" s="78">
        <f t="shared" si="25"/>
        <v>1.9235949369191866E-4</v>
      </c>
      <c r="U7" s="79">
        <v>7.0000000000000001E-3</v>
      </c>
      <c r="V7" s="78">
        <f t="shared" si="25"/>
        <v>1.7315331984386523E-6</v>
      </c>
      <c r="W7" s="79">
        <v>6.0270000000000001</v>
      </c>
      <c r="X7" s="80">
        <f t="shared" si="5"/>
        <v>1.705518357880403E-4</v>
      </c>
      <c r="Y7" s="79">
        <v>2.262</v>
      </c>
      <c r="Z7" s="79">
        <v>1.423</v>
      </c>
      <c r="AA7" s="79">
        <v>0.62</v>
      </c>
      <c r="AB7" s="79">
        <v>0.55700000000000005</v>
      </c>
      <c r="AC7" s="79">
        <v>0.41899999999999998</v>
      </c>
      <c r="AD7" s="79">
        <v>0.29699999999999999</v>
      </c>
      <c r="AE7" s="79">
        <v>0.126</v>
      </c>
      <c r="AF7" s="79">
        <v>9.1999999999999998E-2</v>
      </c>
      <c r="AG7" s="79">
        <v>6.8000000000000005E-2</v>
      </c>
      <c r="AH7" s="79">
        <v>6.5000000000000002E-2</v>
      </c>
      <c r="AI7" s="79">
        <v>4.7E-2</v>
      </c>
      <c r="AJ7" s="110">
        <v>4.3999999999999997E-2</v>
      </c>
      <c r="AK7" s="77">
        <v>5.8999999999999997E-2</v>
      </c>
      <c r="AL7" s="79">
        <v>5.8000000000000003E-2</v>
      </c>
      <c r="AM7" s="79">
        <v>4.1000000000000002E-2</v>
      </c>
      <c r="AN7" s="79">
        <v>0.05</v>
      </c>
      <c r="AO7" s="79">
        <v>5.0999999999999997E-2</v>
      </c>
      <c r="AP7" s="79">
        <v>7.1999999999999995E-2</v>
      </c>
      <c r="AQ7" s="79">
        <v>2.4E-2</v>
      </c>
      <c r="AR7" s="79">
        <v>3.7999999999999999E-2</v>
      </c>
      <c r="AS7" s="111">
        <f t="shared" si="26"/>
        <v>4.759999999999999E-2</v>
      </c>
      <c r="AT7" s="111">
        <f t="shared" si="6"/>
        <v>4.759999999999999E-2</v>
      </c>
      <c r="AU7" s="111">
        <f t="shared" si="6"/>
        <v>4.759999999999999E-2</v>
      </c>
      <c r="AV7" s="112">
        <f t="shared" si="6"/>
        <v>4.759999999999999E-2</v>
      </c>
      <c r="AW7" s="105">
        <f t="shared" si="27"/>
        <v>0</v>
      </c>
      <c r="AX7" s="581">
        <f t="shared" si="28"/>
        <v>0</v>
      </c>
      <c r="AY7" s="77">
        <f t="shared" si="29"/>
        <v>0.58339999999999992</v>
      </c>
      <c r="AZ7" s="139">
        <f t="shared" si="30"/>
        <v>1.6868245346941932E-5</v>
      </c>
      <c r="BA7" s="234">
        <f t="shared" si="31"/>
        <v>0</v>
      </c>
      <c r="BB7" s="78">
        <f t="shared" si="32"/>
        <v>0</v>
      </c>
      <c r="BC7" s="234">
        <f t="shared" si="33"/>
        <v>0.58339999999999992</v>
      </c>
      <c r="BD7" s="139">
        <f t="shared" si="34"/>
        <v>1.5543991686406543E-5</v>
      </c>
      <c r="BE7" s="78">
        <f t="shared" si="35"/>
        <v>-0.90308970099667774</v>
      </c>
      <c r="BF7" s="78">
        <f t="shared" si="36"/>
        <v>-1</v>
      </c>
      <c r="BG7" s="78">
        <f t="shared" si="37"/>
        <v>-0.90320225651236108</v>
      </c>
      <c r="BH7" s="590">
        <v>0</v>
      </c>
      <c r="BI7" s="78">
        <f t="shared" si="38"/>
        <v>0</v>
      </c>
      <c r="BJ7" s="591">
        <f t="shared" si="39"/>
        <v>0</v>
      </c>
      <c r="BK7" s="234">
        <f t="shared" si="40"/>
        <v>0.58339999999999992</v>
      </c>
      <c r="BL7" s="78">
        <f t="shared" si="7"/>
        <v>1.6656807626697494E-5</v>
      </c>
      <c r="BM7" s="234">
        <f t="shared" si="41"/>
        <v>0</v>
      </c>
      <c r="BN7" s="78">
        <f t="shared" si="8"/>
        <v>0</v>
      </c>
      <c r="BO7" s="234">
        <f t="shared" si="42"/>
        <v>0.58339999999999992</v>
      </c>
      <c r="BP7" s="80">
        <f t="shared" si="9"/>
        <v>1.5374868136900633E-5</v>
      </c>
      <c r="BQ7" s="584">
        <f t="shared" si="43"/>
        <v>5.8999999999999997E-2</v>
      </c>
      <c r="BR7" s="111">
        <f t="shared" si="10"/>
        <v>5.8000000000000003E-2</v>
      </c>
      <c r="BS7" s="111">
        <f t="shared" si="11"/>
        <v>4.1000000000000002E-2</v>
      </c>
      <c r="BT7" s="111">
        <f t="shared" si="12"/>
        <v>0.05</v>
      </c>
      <c r="BU7" s="111">
        <f t="shared" si="13"/>
        <v>5.0999999999999997E-2</v>
      </c>
      <c r="BV7" s="111">
        <f t="shared" si="14"/>
        <v>7.1999999999999995E-2</v>
      </c>
      <c r="BW7" s="111">
        <f t="shared" si="15"/>
        <v>2.4E-2</v>
      </c>
      <c r="BX7" s="111">
        <f t="shared" si="16"/>
        <v>3.7999999999999999E-2</v>
      </c>
      <c r="BY7" s="111">
        <f t="shared" si="17"/>
        <v>4.759999999999999E-2</v>
      </c>
      <c r="BZ7" s="111">
        <f t="shared" si="18"/>
        <v>4.759999999999999E-2</v>
      </c>
      <c r="CA7" s="111">
        <f t="shared" si="19"/>
        <v>4.759999999999999E-2</v>
      </c>
      <c r="CB7" s="112">
        <f t="shared" si="20"/>
        <v>4.759999999999999E-2</v>
      </c>
      <c r="CC7" s="93">
        <f t="shared" si="44"/>
        <v>0</v>
      </c>
      <c r="CD7" s="138">
        <f t="shared" si="45"/>
        <v>0</v>
      </c>
      <c r="CE7" s="139">
        <f t="shared" si="46"/>
        <v>0</v>
      </c>
      <c r="CF7" s="140">
        <f t="shared" si="47"/>
        <v>0</v>
      </c>
      <c r="CJ7" s="491">
        <f t="shared" si="48"/>
        <v>0</v>
      </c>
      <c r="CK7" s="269">
        <f t="shared" si="49"/>
        <v>0</v>
      </c>
      <c r="CL7" s="269">
        <f t="shared" si="50"/>
        <v>0</v>
      </c>
      <c r="CM7" s="269">
        <f t="shared" si="51"/>
        <v>0</v>
      </c>
      <c r="CN7" s="492">
        <f t="shared" si="52"/>
        <v>0</v>
      </c>
    </row>
    <row r="8" spans="1:93" s="217" customFormat="1" ht="22.5" customHeight="1">
      <c r="B8" s="295" t="s">
        <v>61</v>
      </c>
      <c r="C8" s="644" t="s">
        <v>95</v>
      </c>
      <c r="D8" s="267">
        <v>1250.6089999999999</v>
      </c>
      <c r="E8" s="277">
        <f t="shared" si="0"/>
        <v>6.1807313700797728E-2</v>
      </c>
      <c r="F8" s="269">
        <v>298.03699999999998</v>
      </c>
      <c r="G8" s="268">
        <f t="shared" si="1"/>
        <v>0.10887458839190277</v>
      </c>
      <c r="H8" s="269">
        <v>1548.646</v>
      </c>
      <c r="I8" s="278">
        <f t="shared" si="21"/>
        <v>6.741617446470792E-2</v>
      </c>
      <c r="J8" s="267">
        <v>1050.4259999999999</v>
      </c>
      <c r="K8" s="277">
        <f t="shared" si="2"/>
        <v>4.5810323526529577E-2</v>
      </c>
      <c r="L8" s="269">
        <v>256.93</v>
      </c>
      <c r="M8" s="268">
        <f t="shared" si="3"/>
        <v>0.13065583707609191</v>
      </c>
      <c r="N8" s="269">
        <v>1307.356</v>
      </c>
      <c r="O8" s="278">
        <f t="shared" si="4"/>
        <v>5.2511931362177765E-2</v>
      </c>
      <c r="P8" s="268">
        <f t="shared" si="22"/>
        <v>-0.16006841466837363</v>
      </c>
      <c r="Q8" s="268">
        <f t="shared" si="23"/>
        <v>-0.13792582800122122</v>
      </c>
      <c r="R8" s="268">
        <f t="shared" si="24"/>
        <v>-0.15580707275904238</v>
      </c>
      <c r="S8" s="267">
        <v>1863.5319999999999</v>
      </c>
      <c r="T8" s="268">
        <f t="shared" si="25"/>
        <v>5.9546191361908404E-2</v>
      </c>
      <c r="U8" s="269">
        <v>447.80599999999998</v>
      </c>
      <c r="V8" s="268">
        <f t="shared" si="25"/>
        <v>0.11077013649428843</v>
      </c>
      <c r="W8" s="269">
        <v>2311.3380000000002</v>
      </c>
      <c r="X8" s="270">
        <f t="shared" si="5"/>
        <v>6.5406162108288951E-2</v>
      </c>
      <c r="Y8" s="269">
        <v>154.73599999999999</v>
      </c>
      <c r="Z8" s="269">
        <v>143.756</v>
      </c>
      <c r="AA8" s="269">
        <v>162.14699999999999</v>
      </c>
      <c r="AB8" s="269">
        <v>163.74700000000001</v>
      </c>
      <c r="AC8" s="269">
        <v>167.45</v>
      </c>
      <c r="AD8" s="269">
        <v>158.15700000000001</v>
      </c>
      <c r="AE8" s="269">
        <v>155.28</v>
      </c>
      <c r="AF8" s="269">
        <v>145.33600000000001</v>
      </c>
      <c r="AG8" s="269">
        <v>152.096</v>
      </c>
      <c r="AH8" s="269">
        <v>163.74</v>
      </c>
      <c r="AI8" s="269">
        <v>154.65199999999999</v>
      </c>
      <c r="AJ8" s="271">
        <v>142.435</v>
      </c>
      <c r="AK8" s="267">
        <v>142.15299999999999</v>
      </c>
      <c r="AL8" s="269">
        <v>138.82400000000001</v>
      </c>
      <c r="AM8" s="269">
        <v>137.489</v>
      </c>
      <c r="AN8" s="269">
        <v>133.74700000000001</v>
      </c>
      <c r="AO8" s="269">
        <v>137.54400000000001</v>
      </c>
      <c r="AP8" s="269">
        <v>126.75700000000001</v>
      </c>
      <c r="AQ8" s="269">
        <v>124.926</v>
      </c>
      <c r="AR8" s="269">
        <v>108.986</v>
      </c>
      <c r="AS8" s="272">
        <f t="shared" si="26"/>
        <v>132.0926</v>
      </c>
      <c r="AT8" s="272">
        <f t="shared" si="6"/>
        <v>132.0926</v>
      </c>
      <c r="AU8" s="272">
        <f t="shared" si="6"/>
        <v>132.0926</v>
      </c>
      <c r="AV8" s="273">
        <f t="shared" si="6"/>
        <v>132.0926</v>
      </c>
      <c r="AW8" s="274">
        <f t="shared" si="27"/>
        <v>0.24459600200299692</v>
      </c>
      <c r="AX8" s="582">
        <f t="shared" si="28"/>
        <v>0.24459600200299692</v>
      </c>
      <c r="AY8" s="267">
        <f t="shared" si="29"/>
        <v>1578.7963999999997</v>
      </c>
      <c r="AZ8" s="277">
        <f t="shared" si="30"/>
        <v>4.5648825896586691E-2</v>
      </c>
      <c r="BA8" s="269">
        <f t="shared" si="31"/>
        <v>386.16728741672432</v>
      </c>
      <c r="BB8" s="268">
        <f t="shared" si="32"/>
        <v>0.13106005295817072</v>
      </c>
      <c r="BC8" s="269">
        <f t="shared" si="33"/>
        <v>1964.963687416724</v>
      </c>
      <c r="BD8" s="277">
        <f t="shared" si="34"/>
        <v>5.2354095339897683E-2</v>
      </c>
      <c r="BE8" s="268">
        <f t="shared" si="35"/>
        <v>-0.15279351253426299</v>
      </c>
      <c r="BF8" s="268">
        <f t="shared" si="36"/>
        <v>-0.13764601765781537</v>
      </c>
      <c r="BG8" s="268">
        <f t="shared" si="37"/>
        <v>-0.14985878853861967</v>
      </c>
      <c r="BH8" s="588">
        <f>$BH$1</f>
        <v>2.5000000000000001E-2</v>
      </c>
      <c r="BI8" s="268">
        <f t="shared" si="38"/>
        <v>0.24459600200299697</v>
      </c>
      <c r="BJ8" s="589">
        <f t="shared" si="39"/>
        <v>0.24459600200299697</v>
      </c>
      <c r="BK8" s="269">
        <f t="shared" si="40"/>
        <v>1618.2663099999995</v>
      </c>
      <c r="BL8" s="268">
        <f t="shared" si="7"/>
        <v>4.620354921912171E-2</v>
      </c>
      <c r="BM8" s="269">
        <f t="shared" si="41"/>
        <v>395.82146960214237</v>
      </c>
      <c r="BN8" s="268">
        <f t="shared" si="8"/>
        <v>0.1355403384581878</v>
      </c>
      <c r="BO8" s="269">
        <f t="shared" si="42"/>
        <v>2014.0877796021418</v>
      </c>
      <c r="BP8" s="270">
        <f t="shared" si="9"/>
        <v>5.3079077866859649E-2</v>
      </c>
      <c r="BQ8" s="585">
        <f t="shared" si="43"/>
        <v>145.70682499999998</v>
      </c>
      <c r="BR8" s="272">
        <f t="shared" si="10"/>
        <v>142.2946</v>
      </c>
      <c r="BS8" s="272">
        <f t="shared" si="11"/>
        <v>140.92622499999999</v>
      </c>
      <c r="BT8" s="272">
        <f t="shared" si="12"/>
        <v>137.090675</v>
      </c>
      <c r="BU8" s="272">
        <f t="shared" si="13"/>
        <v>140.98259999999999</v>
      </c>
      <c r="BV8" s="272">
        <f t="shared" si="14"/>
        <v>129.92592500000001</v>
      </c>
      <c r="BW8" s="272">
        <f t="shared" si="15"/>
        <v>128.04915</v>
      </c>
      <c r="BX8" s="272">
        <f t="shared" si="16"/>
        <v>111.71065</v>
      </c>
      <c r="BY8" s="272">
        <f t="shared" si="17"/>
        <v>135.394915</v>
      </c>
      <c r="BZ8" s="272">
        <f t="shared" si="18"/>
        <v>135.394915</v>
      </c>
      <c r="CA8" s="272">
        <f t="shared" si="19"/>
        <v>135.394915</v>
      </c>
      <c r="CB8" s="273">
        <f t="shared" si="20"/>
        <v>135.394915</v>
      </c>
      <c r="CC8" s="275">
        <f t="shared" si="44"/>
        <v>0</v>
      </c>
      <c r="CD8" s="276">
        <f t="shared" si="45"/>
        <v>2.4999999999999911E-2</v>
      </c>
      <c r="CE8" s="277">
        <f t="shared" si="46"/>
        <v>2.4999999999999911E-2</v>
      </c>
      <c r="CF8" s="278">
        <f t="shared" si="47"/>
        <v>2.4999999999999911E-2</v>
      </c>
      <c r="CJ8" s="491">
        <f t="shared" si="48"/>
        <v>10.461649999999963</v>
      </c>
      <c r="CK8" s="269">
        <f t="shared" si="49"/>
        <v>9.9511999999999148</v>
      </c>
      <c r="CL8" s="269">
        <f t="shared" si="50"/>
        <v>9.150115000000028</v>
      </c>
      <c r="CM8" s="269">
        <f t="shared" si="51"/>
        <v>9.9069450000000074</v>
      </c>
      <c r="CN8" s="492">
        <f t="shared" si="52"/>
        <v>-7.9580786405131221E-13</v>
      </c>
      <c r="CO8" s="220"/>
    </row>
    <row r="9" spans="1:93" ht="22.5" customHeight="1">
      <c r="B9" s="75" t="s">
        <v>62</v>
      </c>
      <c r="C9" s="644" t="s">
        <v>86</v>
      </c>
      <c r="D9" s="77">
        <v>1051.452</v>
      </c>
      <c r="E9" s="139">
        <f t="shared" si="0"/>
        <v>5.1964621720562688E-2</v>
      </c>
      <c r="F9" s="79">
        <v>204.065</v>
      </c>
      <c r="G9" s="78">
        <f t="shared" si="1"/>
        <v>7.4546089513025701E-2</v>
      </c>
      <c r="H9" s="79">
        <v>1255.5170000000001</v>
      </c>
      <c r="I9" s="140">
        <f t="shared" si="21"/>
        <v>5.4655585017755318E-2</v>
      </c>
      <c r="J9" s="77">
        <v>169.084</v>
      </c>
      <c r="K9" s="139">
        <f t="shared" si="2"/>
        <v>7.3739537512968328E-3</v>
      </c>
      <c r="L9" s="79">
        <v>28.635999999999999</v>
      </c>
      <c r="M9" s="78">
        <f t="shared" si="3"/>
        <v>1.4562178610948381E-2</v>
      </c>
      <c r="N9" s="79">
        <v>197.72</v>
      </c>
      <c r="O9" s="140">
        <f t="shared" si="4"/>
        <v>7.9417228887386348E-3</v>
      </c>
      <c r="P9" s="78">
        <f t="shared" si="22"/>
        <v>-0.83918999630986479</v>
      </c>
      <c r="Q9" s="78">
        <f t="shared" si="23"/>
        <v>-0.85967216328130747</v>
      </c>
      <c r="R9" s="78">
        <f t="shared" si="24"/>
        <v>-0.84251905788611392</v>
      </c>
      <c r="S9" s="77">
        <v>1264.4939999999999</v>
      </c>
      <c r="T9" s="78">
        <f t="shared" si="25"/>
        <v>4.0404887976157641E-2</v>
      </c>
      <c r="U9" s="79">
        <v>242.303</v>
      </c>
      <c r="V9" s="78">
        <f t="shared" si="25"/>
        <v>5.9936526940182963E-2</v>
      </c>
      <c r="W9" s="79">
        <v>1506.797</v>
      </c>
      <c r="X9" s="80">
        <f t="shared" si="5"/>
        <v>4.2639288951370792E-2</v>
      </c>
      <c r="Y9" s="79">
        <v>136.755</v>
      </c>
      <c r="Z9" s="79">
        <v>159.79400000000001</v>
      </c>
      <c r="AA9" s="79">
        <v>173.56100000000001</v>
      </c>
      <c r="AB9" s="79">
        <v>188.416</v>
      </c>
      <c r="AC9" s="79">
        <v>171.869</v>
      </c>
      <c r="AD9" s="79">
        <v>110.625</v>
      </c>
      <c r="AE9" s="79">
        <v>61.860999999999997</v>
      </c>
      <c r="AF9" s="79">
        <v>48.570999999999998</v>
      </c>
      <c r="AG9" s="79">
        <v>58.49</v>
      </c>
      <c r="AH9" s="79">
        <v>70.379000000000005</v>
      </c>
      <c r="AI9" s="79">
        <v>52.078000000000003</v>
      </c>
      <c r="AJ9" s="110">
        <v>32.094999999999999</v>
      </c>
      <c r="AK9" s="77">
        <v>29.733000000000001</v>
      </c>
      <c r="AL9" s="79">
        <v>35.899000000000001</v>
      </c>
      <c r="AM9" s="79">
        <v>30.318000000000001</v>
      </c>
      <c r="AN9" s="79">
        <v>24.974</v>
      </c>
      <c r="AO9" s="79">
        <v>25.440999999999999</v>
      </c>
      <c r="AP9" s="79">
        <v>14.464</v>
      </c>
      <c r="AQ9" s="79">
        <v>5.0129999999999999</v>
      </c>
      <c r="AR9" s="79">
        <v>3.242</v>
      </c>
      <c r="AS9" s="111">
        <f t="shared" si="26"/>
        <v>20.042000000000002</v>
      </c>
      <c r="AT9" s="111">
        <f t="shared" si="6"/>
        <v>20.042000000000002</v>
      </c>
      <c r="AU9" s="111">
        <f t="shared" si="6"/>
        <v>20.042000000000002</v>
      </c>
      <c r="AV9" s="112">
        <f t="shared" si="6"/>
        <v>20.042000000000002</v>
      </c>
      <c r="AW9" s="105">
        <f t="shared" si="27"/>
        <v>0.1693596082420572</v>
      </c>
      <c r="AX9" s="581">
        <f t="shared" si="28"/>
        <v>0.1693596082420572</v>
      </c>
      <c r="AY9" s="77">
        <f t="shared" si="29"/>
        <v>249.25200000000001</v>
      </c>
      <c r="AZ9" s="139">
        <f t="shared" si="30"/>
        <v>7.2067944621459915E-3</v>
      </c>
      <c r="BA9" s="234">
        <f t="shared" si="31"/>
        <v>42.213221073549242</v>
      </c>
      <c r="BB9" s="78">
        <f t="shared" si="32"/>
        <v>1.4326607068257667E-2</v>
      </c>
      <c r="BC9" s="234">
        <f t="shared" si="33"/>
        <v>291.46522107354923</v>
      </c>
      <c r="BD9" s="139">
        <f t="shared" si="34"/>
        <v>7.7657404409391412E-3</v>
      </c>
      <c r="BE9" s="78">
        <f t="shared" si="35"/>
        <v>-0.80288399944958222</v>
      </c>
      <c r="BF9" s="78">
        <f t="shared" si="36"/>
        <v>-0.82578333296100648</v>
      </c>
      <c r="BG9" s="78">
        <f t="shared" si="37"/>
        <v>-0.80656636489616762</v>
      </c>
      <c r="BH9" s="592">
        <v>-1</v>
      </c>
      <c r="BI9" s="78">
        <f t="shared" si="38"/>
        <v>0.1693596082420572</v>
      </c>
      <c r="BJ9" s="591">
        <f t="shared" si="39"/>
        <v>0.1693596082420572</v>
      </c>
      <c r="BK9" s="234">
        <f t="shared" si="40"/>
        <v>0</v>
      </c>
      <c r="BL9" s="78">
        <f t="shared" si="7"/>
        <v>0</v>
      </c>
      <c r="BM9" s="234">
        <f t="shared" si="41"/>
        <v>0</v>
      </c>
      <c r="BN9" s="78">
        <f t="shared" si="8"/>
        <v>0</v>
      </c>
      <c r="BO9" s="234">
        <f t="shared" si="42"/>
        <v>0</v>
      </c>
      <c r="BP9" s="80">
        <f t="shared" si="9"/>
        <v>0</v>
      </c>
      <c r="BQ9" s="584">
        <f t="shared" si="43"/>
        <v>0</v>
      </c>
      <c r="BR9" s="111">
        <f t="shared" si="10"/>
        <v>0</v>
      </c>
      <c r="BS9" s="111">
        <f t="shared" si="11"/>
        <v>0</v>
      </c>
      <c r="BT9" s="111">
        <f t="shared" si="12"/>
        <v>0</v>
      </c>
      <c r="BU9" s="111">
        <f t="shared" si="13"/>
        <v>0</v>
      </c>
      <c r="BV9" s="111">
        <f t="shared" si="14"/>
        <v>0</v>
      </c>
      <c r="BW9" s="111">
        <f t="shared" si="15"/>
        <v>0</v>
      </c>
      <c r="BX9" s="111">
        <f t="shared" si="16"/>
        <v>0</v>
      </c>
      <c r="BY9" s="111">
        <f t="shared" si="17"/>
        <v>0</v>
      </c>
      <c r="BZ9" s="111">
        <f t="shared" si="18"/>
        <v>0</v>
      </c>
      <c r="CA9" s="111">
        <f t="shared" si="19"/>
        <v>0</v>
      </c>
      <c r="CB9" s="112">
        <f t="shared" si="20"/>
        <v>0</v>
      </c>
      <c r="CC9" s="93">
        <f t="shared" si="44"/>
        <v>0</v>
      </c>
      <c r="CD9" s="138">
        <f t="shared" si="45"/>
        <v>-1</v>
      </c>
      <c r="CE9" s="139">
        <f t="shared" si="46"/>
        <v>-1</v>
      </c>
      <c r="CF9" s="140">
        <f t="shared" si="47"/>
        <v>-1</v>
      </c>
      <c r="CJ9" s="491">
        <f t="shared" si="48"/>
        <v>-95.95</v>
      </c>
      <c r="CK9" s="269">
        <f t="shared" si="49"/>
        <v>-64.879000000000005</v>
      </c>
      <c r="CL9" s="269">
        <f t="shared" si="50"/>
        <v>-28.297000000000001</v>
      </c>
      <c r="CM9" s="269">
        <f t="shared" si="51"/>
        <v>-60.126000000000005</v>
      </c>
      <c r="CN9" s="492">
        <f t="shared" si="52"/>
        <v>0</v>
      </c>
    </row>
    <row r="10" spans="1:93" ht="22.5" customHeight="1">
      <c r="B10" s="75" t="s">
        <v>63</v>
      </c>
      <c r="C10" s="644" t="s">
        <v>89</v>
      </c>
      <c r="D10" s="77">
        <v>1102.752</v>
      </c>
      <c r="E10" s="139">
        <f t="shared" si="0"/>
        <v>5.4499958658687168E-2</v>
      </c>
      <c r="F10" s="79">
        <v>275.02199999999999</v>
      </c>
      <c r="G10" s="78">
        <f t="shared" si="1"/>
        <v>0.10046707975425159</v>
      </c>
      <c r="H10" s="79">
        <v>1377.7739999999999</v>
      </c>
      <c r="I10" s="140">
        <f t="shared" si="21"/>
        <v>5.9977717539669156E-2</v>
      </c>
      <c r="J10" s="77">
        <v>1134.0239999999999</v>
      </c>
      <c r="K10" s="139">
        <f t="shared" si="2"/>
        <v>4.945613144271864E-2</v>
      </c>
      <c r="L10" s="79">
        <v>282.14999999999998</v>
      </c>
      <c r="M10" s="78">
        <f t="shared" si="3"/>
        <v>0.14348088752196833</v>
      </c>
      <c r="N10" s="79">
        <v>1416.174</v>
      </c>
      <c r="O10" s="140">
        <f t="shared" si="4"/>
        <v>5.6882770939897576E-2</v>
      </c>
      <c r="P10" s="78">
        <f t="shared" si="22"/>
        <v>2.8358143988856943E-2</v>
      </c>
      <c r="Q10" s="78">
        <f t="shared" si="23"/>
        <v>2.591792656587466E-2</v>
      </c>
      <c r="R10" s="78">
        <f t="shared" si="24"/>
        <v>2.7871044162540493E-2</v>
      </c>
      <c r="S10" s="77">
        <v>1684.248</v>
      </c>
      <c r="T10" s="78">
        <f t="shared" si="25"/>
        <v>5.3817457231167216E-2</v>
      </c>
      <c r="U10" s="79">
        <v>418.39299999999997</v>
      </c>
      <c r="V10" s="78">
        <f t="shared" si="25"/>
        <v>0.10349448135633471</v>
      </c>
      <c r="W10" s="79">
        <v>2102.6410000000001</v>
      </c>
      <c r="X10" s="80">
        <f t="shared" si="5"/>
        <v>5.9500461681300958E-2</v>
      </c>
      <c r="Y10" s="79">
        <v>128.423</v>
      </c>
      <c r="Z10" s="79">
        <v>116.771</v>
      </c>
      <c r="AA10" s="79">
        <v>140.15</v>
      </c>
      <c r="AB10" s="79">
        <v>139.321</v>
      </c>
      <c r="AC10" s="79">
        <v>144.232</v>
      </c>
      <c r="AD10" s="79">
        <v>141.404</v>
      </c>
      <c r="AE10" s="79">
        <v>149.00899999999999</v>
      </c>
      <c r="AF10" s="79">
        <v>143.44200000000001</v>
      </c>
      <c r="AG10" s="79">
        <v>142.88399999999999</v>
      </c>
      <c r="AH10" s="79">
        <v>152.148</v>
      </c>
      <c r="AI10" s="79">
        <v>143.06800000000001</v>
      </c>
      <c r="AJ10" s="110">
        <v>143.39599999999999</v>
      </c>
      <c r="AK10" s="77">
        <v>132.642</v>
      </c>
      <c r="AL10" s="79">
        <v>133.13399999999999</v>
      </c>
      <c r="AM10" s="79">
        <v>142.928</v>
      </c>
      <c r="AN10" s="79">
        <v>139.54</v>
      </c>
      <c r="AO10" s="79">
        <v>148.941</v>
      </c>
      <c r="AP10" s="79">
        <v>144.37799999999999</v>
      </c>
      <c r="AQ10" s="79">
        <v>151.94200000000001</v>
      </c>
      <c r="AR10" s="79">
        <v>140.51900000000001</v>
      </c>
      <c r="AS10" s="111">
        <f t="shared" si="26"/>
        <v>145.54580000000001</v>
      </c>
      <c r="AT10" s="111">
        <f t="shared" si="6"/>
        <v>145.54580000000001</v>
      </c>
      <c r="AU10" s="111">
        <f t="shared" si="6"/>
        <v>145.54580000000001</v>
      </c>
      <c r="AV10" s="112">
        <f t="shared" si="6"/>
        <v>145.54580000000001</v>
      </c>
      <c r="AW10" s="105">
        <f t="shared" si="27"/>
        <v>0.24880425811093945</v>
      </c>
      <c r="AX10" s="581">
        <f t="shared" si="28"/>
        <v>0.24880425811093945</v>
      </c>
      <c r="AY10" s="77">
        <f t="shared" si="29"/>
        <v>1716.2072000000003</v>
      </c>
      <c r="AZ10" s="139">
        <f t="shared" si="30"/>
        <v>4.9621878840912327E-2</v>
      </c>
      <c r="BA10" s="234">
        <f t="shared" si="31"/>
        <v>426.99965916065264</v>
      </c>
      <c r="BB10" s="78">
        <f t="shared" si="32"/>
        <v>0.14491801808765103</v>
      </c>
      <c r="BC10" s="234">
        <f t="shared" si="33"/>
        <v>2143.206859160653</v>
      </c>
      <c r="BD10" s="139">
        <f t="shared" si="34"/>
        <v>5.7103170382315174E-2</v>
      </c>
      <c r="BE10" s="78">
        <f t="shared" si="35"/>
        <v>1.8975352798400458E-2</v>
      </c>
      <c r="BF10" s="78">
        <f t="shared" si="36"/>
        <v>2.0570753240739315E-2</v>
      </c>
      <c r="BG10" s="78">
        <f t="shared" si="37"/>
        <v>1.9292812781950497E-2</v>
      </c>
      <c r="BH10" s="588">
        <f>$BH$1</f>
        <v>2.5000000000000001E-2</v>
      </c>
      <c r="BI10" s="78">
        <f t="shared" si="38"/>
        <v>0.2488042581109394</v>
      </c>
      <c r="BJ10" s="591">
        <f t="shared" si="39"/>
        <v>0.2488042581109394</v>
      </c>
      <c r="BK10" s="234">
        <f t="shared" si="40"/>
        <v>1759.11238</v>
      </c>
      <c r="BL10" s="78">
        <f t="shared" si="7"/>
        <v>5.022488259753511E-2</v>
      </c>
      <c r="BM10" s="234">
        <f t="shared" si="41"/>
        <v>437.67465063966893</v>
      </c>
      <c r="BN10" s="78">
        <f t="shared" si="8"/>
        <v>0.14987203787075412</v>
      </c>
      <c r="BO10" s="234">
        <f t="shared" si="42"/>
        <v>2196.787030639669</v>
      </c>
      <c r="BP10" s="80">
        <f t="shared" si="9"/>
        <v>5.7893916559716159E-2</v>
      </c>
      <c r="BQ10" s="584">
        <f t="shared" si="43"/>
        <v>135.95804999999999</v>
      </c>
      <c r="BR10" s="111">
        <f t="shared" si="10"/>
        <v>136.46234999999999</v>
      </c>
      <c r="BS10" s="111">
        <f t="shared" si="11"/>
        <v>146.50119999999998</v>
      </c>
      <c r="BT10" s="111">
        <f t="shared" si="12"/>
        <v>143.02849999999998</v>
      </c>
      <c r="BU10" s="111">
        <f t="shared" si="13"/>
        <v>152.664525</v>
      </c>
      <c r="BV10" s="111">
        <f t="shared" si="14"/>
        <v>147.98744999999997</v>
      </c>
      <c r="BW10" s="111">
        <f t="shared" si="15"/>
        <v>155.74054999999998</v>
      </c>
      <c r="BX10" s="111">
        <f t="shared" si="16"/>
        <v>144.03197499999999</v>
      </c>
      <c r="BY10" s="111">
        <f t="shared" si="17"/>
        <v>149.18444500000001</v>
      </c>
      <c r="BZ10" s="111">
        <f t="shared" si="18"/>
        <v>149.18444500000001</v>
      </c>
      <c r="CA10" s="111">
        <f t="shared" si="19"/>
        <v>149.18444500000001</v>
      </c>
      <c r="CB10" s="112">
        <f t="shared" si="20"/>
        <v>149.18444500000001</v>
      </c>
      <c r="CC10" s="93">
        <f t="shared" si="44"/>
        <v>0</v>
      </c>
      <c r="CD10" s="138">
        <f t="shared" si="45"/>
        <v>2.4999999999999911E-2</v>
      </c>
      <c r="CE10" s="139">
        <f t="shared" si="46"/>
        <v>2.4999999999999911E-2</v>
      </c>
      <c r="CF10" s="140">
        <f t="shared" si="47"/>
        <v>2.4999999999999911E-2</v>
      </c>
      <c r="CJ10" s="491">
        <f t="shared" si="48"/>
        <v>10.217600000000004</v>
      </c>
      <c r="CK10" s="269">
        <f t="shared" si="49"/>
        <v>10.821474999999964</v>
      </c>
      <c r="CL10" s="269">
        <f t="shared" si="50"/>
        <v>10.950169999999957</v>
      </c>
      <c r="CM10" s="269">
        <f t="shared" si="51"/>
        <v>10.91593499999999</v>
      </c>
      <c r="CN10" s="492">
        <f t="shared" si="52"/>
        <v>-5.6843418860808015E-14</v>
      </c>
    </row>
    <row r="11" spans="1:93" ht="22.5" customHeight="1">
      <c r="B11" s="75" t="s">
        <v>64</v>
      </c>
      <c r="C11" s="644" t="s">
        <v>100</v>
      </c>
      <c r="D11" s="77">
        <v>359.214</v>
      </c>
      <c r="E11" s="139">
        <f t="shared" si="0"/>
        <v>1.7752992648956113E-2</v>
      </c>
      <c r="F11" s="79">
        <v>27.809000000000001</v>
      </c>
      <c r="G11" s="78">
        <f t="shared" si="1"/>
        <v>1.0158783736886442E-2</v>
      </c>
      <c r="H11" s="79">
        <v>387.02300000000002</v>
      </c>
      <c r="I11" s="140">
        <f t="shared" si="21"/>
        <v>1.6848014387958677E-2</v>
      </c>
      <c r="J11" s="77">
        <v>101.46</v>
      </c>
      <c r="K11" s="139">
        <f t="shared" si="2"/>
        <v>4.424790918162432E-3</v>
      </c>
      <c r="L11" s="79">
        <v>8.452</v>
      </c>
      <c r="M11" s="78">
        <f t="shared" si="3"/>
        <v>4.2980700384039573E-3</v>
      </c>
      <c r="N11" s="79">
        <v>109.91200000000001</v>
      </c>
      <c r="O11" s="140">
        <f t="shared" si="4"/>
        <v>4.4147817426008545E-3</v>
      </c>
      <c r="P11" s="78">
        <f t="shared" si="22"/>
        <v>-0.71754998413202165</v>
      </c>
      <c r="Q11" s="78">
        <f t="shared" si="23"/>
        <v>-0.69606961774964948</v>
      </c>
      <c r="R11" s="78">
        <f t="shared" si="24"/>
        <v>-0.71600654224684324</v>
      </c>
      <c r="S11" s="77">
        <v>502.21199999999999</v>
      </c>
      <c r="T11" s="78">
        <f t="shared" si="25"/>
        <v>1.6047383064120575E-2</v>
      </c>
      <c r="U11" s="79">
        <v>38.942</v>
      </c>
      <c r="V11" s="78">
        <f t="shared" si="25"/>
        <v>9.6327665447997132E-3</v>
      </c>
      <c r="W11" s="79">
        <v>541.154</v>
      </c>
      <c r="X11" s="80">
        <f t="shared" si="5"/>
        <v>1.5313557017428432E-2</v>
      </c>
      <c r="Y11" s="79">
        <v>43.802</v>
      </c>
      <c r="Z11" s="79">
        <v>46.012</v>
      </c>
      <c r="AA11" s="79">
        <v>48.274000000000001</v>
      </c>
      <c r="AB11" s="79">
        <v>50.396000000000001</v>
      </c>
      <c r="AC11" s="79">
        <v>48.604999999999997</v>
      </c>
      <c r="AD11" s="79">
        <v>44.929000000000002</v>
      </c>
      <c r="AE11" s="79">
        <v>41.506</v>
      </c>
      <c r="AF11" s="79">
        <v>35.69</v>
      </c>
      <c r="AG11" s="79">
        <v>39.972000000000001</v>
      </c>
      <c r="AH11" s="79">
        <v>40.311999999999998</v>
      </c>
      <c r="AI11" s="79">
        <v>34.850999999999999</v>
      </c>
      <c r="AJ11" s="110">
        <v>27.863</v>
      </c>
      <c r="AK11" s="77">
        <v>16.648</v>
      </c>
      <c r="AL11" s="79">
        <v>11.12</v>
      </c>
      <c r="AM11" s="79">
        <v>12.946</v>
      </c>
      <c r="AN11" s="79">
        <v>12.3</v>
      </c>
      <c r="AO11" s="79">
        <v>12.712</v>
      </c>
      <c r="AP11" s="79">
        <v>12.423</v>
      </c>
      <c r="AQ11" s="79">
        <v>12.954000000000001</v>
      </c>
      <c r="AR11" s="79">
        <v>10.356999999999999</v>
      </c>
      <c r="AS11" s="111">
        <f t="shared" si="26"/>
        <v>12.667</v>
      </c>
      <c r="AT11" s="111">
        <f t="shared" si="6"/>
        <v>12.667</v>
      </c>
      <c r="AU11" s="111">
        <f t="shared" si="6"/>
        <v>12.667</v>
      </c>
      <c r="AV11" s="112">
        <f t="shared" si="6"/>
        <v>12.667</v>
      </c>
      <c r="AW11" s="105">
        <f t="shared" si="27"/>
        <v>8.3303765030553922E-2</v>
      </c>
      <c r="AX11" s="581">
        <f t="shared" si="28"/>
        <v>8.3303765030553922E-2</v>
      </c>
      <c r="AY11" s="77">
        <f t="shared" si="29"/>
        <v>152.12800000000001</v>
      </c>
      <c r="AZ11" s="139">
        <f t="shared" si="30"/>
        <v>4.3985814675001423E-3</v>
      </c>
      <c r="BA11" s="234">
        <f t="shared" si="31"/>
        <v>12.672835166568106</v>
      </c>
      <c r="BB11" s="78">
        <f t="shared" si="32"/>
        <v>4.300992088613286E-3</v>
      </c>
      <c r="BC11" s="234">
        <f t="shared" si="33"/>
        <v>164.80083516656811</v>
      </c>
      <c r="BD11" s="139">
        <f t="shared" si="34"/>
        <v>4.3909201435412921E-3</v>
      </c>
      <c r="BE11" s="78">
        <f t="shared" si="35"/>
        <v>-0.69708409994185727</v>
      </c>
      <c r="BF11" s="78">
        <f t="shared" si="36"/>
        <v>-0.6745715380163293</v>
      </c>
      <c r="BG11" s="78">
        <f t="shared" si="37"/>
        <v>-0.69546407276566724</v>
      </c>
      <c r="BH11" s="590">
        <v>0</v>
      </c>
      <c r="BI11" s="78">
        <f t="shared" si="38"/>
        <v>8.3303765030553908E-2</v>
      </c>
      <c r="BJ11" s="591">
        <f t="shared" si="39"/>
        <v>8.3303765030553908E-2</v>
      </c>
      <c r="BK11" s="234">
        <f t="shared" si="40"/>
        <v>152.12800000000001</v>
      </c>
      <c r="BL11" s="78">
        <f t="shared" si="7"/>
        <v>4.3434467443164843E-3</v>
      </c>
      <c r="BM11" s="234">
        <f t="shared" si="41"/>
        <v>12.672835166568106</v>
      </c>
      <c r="BN11" s="78">
        <f t="shared" si="8"/>
        <v>4.3395330966457743E-3</v>
      </c>
      <c r="BO11" s="234">
        <f t="shared" si="42"/>
        <v>164.80083516656811</v>
      </c>
      <c r="BP11" s="80">
        <f t="shared" si="9"/>
        <v>4.3431455425729888E-3</v>
      </c>
      <c r="BQ11" s="584">
        <f t="shared" si="43"/>
        <v>16.648</v>
      </c>
      <c r="BR11" s="111">
        <f t="shared" si="10"/>
        <v>11.12</v>
      </c>
      <c r="BS11" s="111">
        <f t="shared" si="11"/>
        <v>12.946</v>
      </c>
      <c r="BT11" s="111">
        <f t="shared" si="12"/>
        <v>12.3</v>
      </c>
      <c r="BU11" s="111">
        <f t="shared" si="13"/>
        <v>12.712</v>
      </c>
      <c r="BV11" s="111">
        <f t="shared" si="14"/>
        <v>12.423</v>
      </c>
      <c r="BW11" s="111">
        <f t="shared" si="15"/>
        <v>12.954000000000001</v>
      </c>
      <c r="BX11" s="111">
        <f t="shared" si="16"/>
        <v>10.356999999999999</v>
      </c>
      <c r="BY11" s="111">
        <f t="shared" si="17"/>
        <v>12.667</v>
      </c>
      <c r="BZ11" s="111">
        <f t="shared" si="18"/>
        <v>12.667</v>
      </c>
      <c r="CA11" s="111">
        <f t="shared" si="19"/>
        <v>12.667</v>
      </c>
      <c r="CB11" s="112">
        <f t="shared" si="20"/>
        <v>12.667</v>
      </c>
      <c r="CC11" s="93">
        <f t="shared" si="44"/>
        <v>0</v>
      </c>
      <c r="CD11" s="138">
        <f t="shared" si="45"/>
        <v>0</v>
      </c>
      <c r="CE11" s="139">
        <f t="shared" si="46"/>
        <v>0</v>
      </c>
      <c r="CF11" s="140">
        <f t="shared" si="47"/>
        <v>0</v>
      </c>
      <c r="CJ11" s="491">
        <f t="shared" si="48"/>
        <v>0</v>
      </c>
      <c r="CK11" s="269">
        <f t="shared" si="49"/>
        <v>0</v>
      </c>
      <c r="CL11" s="269">
        <f t="shared" si="50"/>
        <v>0</v>
      </c>
      <c r="CM11" s="269">
        <f t="shared" si="51"/>
        <v>0</v>
      </c>
      <c r="CN11" s="492">
        <f t="shared" si="52"/>
        <v>0</v>
      </c>
    </row>
    <row r="12" spans="1:93" s="217" customFormat="1" ht="22.5" customHeight="1">
      <c r="B12" s="266" t="s">
        <v>65</v>
      </c>
      <c r="C12" s="644" t="s">
        <v>84</v>
      </c>
      <c r="D12" s="267">
        <v>10472.669</v>
      </c>
      <c r="E12" s="277">
        <f t="shared" si="0"/>
        <v>0.5175778665974895</v>
      </c>
      <c r="F12" s="269">
        <v>1376.1089999999999</v>
      </c>
      <c r="G12" s="268">
        <f t="shared" si="1"/>
        <v>0.50270033907666811</v>
      </c>
      <c r="H12" s="269">
        <v>11848.778</v>
      </c>
      <c r="I12" s="278">
        <f t="shared" si="21"/>
        <v>0.5158049579061923</v>
      </c>
      <c r="J12" s="267">
        <v>9288.5879999999997</v>
      </c>
      <c r="K12" s="277">
        <f t="shared" si="2"/>
        <v>0.40508633771883057</v>
      </c>
      <c r="L12" s="269">
        <v>1205.249</v>
      </c>
      <c r="M12" s="268">
        <f t="shared" si="3"/>
        <v>0.61290163460912583</v>
      </c>
      <c r="N12" s="269">
        <v>10493.837</v>
      </c>
      <c r="O12" s="278">
        <f t="shared" si="4"/>
        <v>0.42150083700987445</v>
      </c>
      <c r="P12" s="268">
        <f t="shared" si="22"/>
        <v>-0.11306391904489677</v>
      </c>
      <c r="Q12" s="268">
        <f t="shared" si="23"/>
        <v>-0.12416167614629359</v>
      </c>
      <c r="R12" s="268">
        <f t="shared" si="24"/>
        <v>-0.11435280498967915</v>
      </c>
      <c r="S12" s="267">
        <v>15750.789000000001</v>
      </c>
      <c r="T12" s="268">
        <f t="shared" si="25"/>
        <v>0.50329132845319635</v>
      </c>
      <c r="U12" s="269">
        <v>2070.576</v>
      </c>
      <c r="V12" s="268">
        <f t="shared" si="25"/>
        <v>0.51218158341290154</v>
      </c>
      <c r="W12" s="269">
        <v>17821.365000000002</v>
      </c>
      <c r="X12" s="270">
        <f t="shared" si="5"/>
        <v>0.50430836518976752</v>
      </c>
      <c r="Y12" s="269">
        <v>1354.557</v>
      </c>
      <c r="Z12" s="269">
        <v>1201.7170000000001</v>
      </c>
      <c r="AA12" s="269">
        <v>1339.2049999999999</v>
      </c>
      <c r="AB12" s="269">
        <v>1342.211</v>
      </c>
      <c r="AC12" s="269">
        <v>1355.798</v>
      </c>
      <c r="AD12" s="269">
        <v>1295.963</v>
      </c>
      <c r="AE12" s="269">
        <v>1354.2159999999999</v>
      </c>
      <c r="AF12" s="269">
        <v>1229.002</v>
      </c>
      <c r="AG12" s="269">
        <v>1332.3130000000001</v>
      </c>
      <c r="AH12" s="269">
        <v>1413.739</v>
      </c>
      <c r="AI12" s="269">
        <v>1305.818</v>
      </c>
      <c r="AJ12" s="271">
        <v>1226.25</v>
      </c>
      <c r="AK12" s="267">
        <v>1248.145</v>
      </c>
      <c r="AL12" s="269">
        <v>1194.7360000000001</v>
      </c>
      <c r="AM12" s="269">
        <v>1213.865</v>
      </c>
      <c r="AN12" s="269">
        <v>1149.636</v>
      </c>
      <c r="AO12" s="269">
        <v>1199.04</v>
      </c>
      <c r="AP12" s="269">
        <v>1125.557</v>
      </c>
      <c r="AQ12" s="269">
        <v>1173.482</v>
      </c>
      <c r="AR12" s="269">
        <v>984.12699999999995</v>
      </c>
      <c r="AS12" s="279">
        <f t="shared" si="26"/>
        <v>1172.316</v>
      </c>
      <c r="AT12" s="279">
        <f t="shared" si="6"/>
        <v>1172.316</v>
      </c>
      <c r="AU12" s="279">
        <f t="shared" si="6"/>
        <v>1172.316</v>
      </c>
      <c r="AV12" s="280">
        <f t="shared" si="6"/>
        <v>1172.316</v>
      </c>
      <c r="AW12" s="274">
        <f t="shared" si="27"/>
        <v>0.1297558897003506</v>
      </c>
      <c r="AX12" s="582">
        <f t="shared" si="28"/>
        <v>0.1297558897003506</v>
      </c>
      <c r="AY12" s="267">
        <f t="shared" si="29"/>
        <v>13977.852000000003</v>
      </c>
      <c r="AZ12" s="277">
        <f t="shared" si="30"/>
        <v>0.40415124607343689</v>
      </c>
      <c r="BA12" s="269">
        <f t="shared" si="31"/>
        <v>1813.7086223598249</v>
      </c>
      <c r="BB12" s="268">
        <f t="shared" si="32"/>
        <v>0.6155486387448853</v>
      </c>
      <c r="BC12" s="269">
        <f t="shared" si="33"/>
        <v>15791.560622359828</v>
      </c>
      <c r="BD12" s="277">
        <f t="shared" si="34"/>
        <v>0.42074714951893405</v>
      </c>
      <c r="BE12" s="268">
        <f t="shared" si="35"/>
        <v>-0.11256178976176989</v>
      </c>
      <c r="BF12" s="268">
        <f t="shared" si="36"/>
        <v>-0.12405600066849765</v>
      </c>
      <c r="BG12" s="268">
        <f t="shared" si="37"/>
        <v>-0.11389724511226684</v>
      </c>
      <c r="BH12" s="593">
        <f>-1%*CF35</f>
        <v>-4.3235197340220893E-3</v>
      </c>
      <c r="BI12" s="268">
        <f t="shared" si="38"/>
        <v>0.12975588970035057</v>
      </c>
      <c r="BJ12" s="589">
        <f t="shared" si="39"/>
        <v>0.12975588970035057</v>
      </c>
      <c r="BK12" s="269">
        <f>AY12*(1+BH12)</f>
        <v>13917.418481038761</v>
      </c>
      <c r="BL12" s="268">
        <f t="shared" si="7"/>
        <v>0.39735989423878493</v>
      </c>
      <c r="BM12" s="269">
        <f t="shared" si="41"/>
        <v>1805.8670173392861</v>
      </c>
      <c r="BN12" s="268">
        <f t="shared" si="8"/>
        <v>0.61837935922645104</v>
      </c>
      <c r="BO12" s="269">
        <f t="shared" si="42"/>
        <v>15723.285498378047</v>
      </c>
      <c r="BP12" s="270">
        <f t="shared" si="9"/>
        <v>0.41436997123140978</v>
      </c>
      <c r="BQ12" s="586">
        <f t="shared" si="43"/>
        <v>1242.7486204615789</v>
      </c>
      <c r="BR12" s="281">
        <f t="shared" si="10"/>
        <v>1189.5705353270534</v>
      </c>
      <c r="BS12" s="281">
        <f t="shared" si="11"/>
        <v>1208.6168307180612</v>
      </c>
      <c r="BT12" s="281">
        <f t="shared" si="12"/>
        <v>1144.6655260670577</v>
      </c>
      <c r="BU12" s="281">
        <f t="shared" si="13"/>
        <v>1193.855926898118</v>
      </c>
      <c r="BV12" s="281">
        <f t="shared" si="14"/>
        <v>1120.6906320987332</v>
      </c>
      <c r="BW12" s="281">
        <f t="shared" si="15"/>
        <v>1168.4084274154802</v>
      </c>
      <c r="BX12" s="281">
        <f t="shared" si="16"/>
        <v>979.87210749471592</v>
      </c>
      <c r="BY12" s="281">
        <f t="shared" si="17"/>
        <v>1167.2474686394901</v>
      </c>
      <c r="BZ12" s="281">
        <f t="shared" si="18"/>
        <v>1167.2474686394901</v>
      </c>
      <c r="CA12" s="281">
        <f t="shared" si="19"/>
        <v>1167.2474686394901</v>
      </c>
      <c r="CB12" s="282">
        <f t="shared" si="20"/>
        <v>1167.2474686394901</v>
      </c>
      <c r="CC12" s="275">
        <f t="shared" si="44"/>
        <v>0</v>
      </c>
      <c r="CD12" s="276">
        <f t="shared" si="45"/>
        <v>-4.3235197340221188E-3</v>
      </c>
      <c r="CE12" s="277">
        <f t="shared" si="46"/>
        <v>-4.3235197340221188E-3</v>
      </c>
      <c r="CF12" s="278">
        <f t="shared" si="47"/>
        <v>-4.3235197340222298E-3</v>
      </c>
      <c r="CJ12" s="491">
        <f t="shared" si="48"/>
        <v>-15.810013493306542</v>
      </c>
      <c r="CK12" s="269">
        <f t="shared" si="49"/>
        <v>-15.020914936091231</v>
      </c>
      <c r="CL12" s="269">
        <f t="shared" si="50"/>
        <v>-14.396996450313964</v>
      </c>
      <c r="CM12" s="269">
        <f t="shared" si="51"/>
        <v>-15.205594081529853</v>
      </c>
      <c r="CN12" s="492">
        <f t="shared" si="52"/>
        <v>-4.5474735088646412E-13</v>
      </c>
      <c r="CO12" s="220"/>
    </row>
    <row r="13" spans="1:93" ht="22.5" customHeight="1">
      <c r="B13" s="75" t="s">
        <v>66</v>
      </c>
      <c r="C13" s="644" t="s">
        <v>66</v>
      </c>
      <c r="D13" s="77">
        <v>61.85</v>
      </c>
      <c r="E13" s="139">
        <f t="shared" si="0"/>
        <v>3.0567366398245497E-3</v>
      </c>
      <c r="F13" s="79">
        <v>0</v>
      </c>
      <c r="G13" s="78">
        <f t="shared" si="1"/>
        <v>0</v>
      </c>
      <c r="H13" s="79">
        <v>61.85</v>
      </c>
      <c r="I13" s="140">
        <f t="shared" si="21"/>
        <v>2.6924748397259188E-3</v>
      </c>
      <c r="J13" s="77">
        <v>66.682000000000002</v>
      </c>
      <c r="K13" s="139">
        <f t="shared" si="2"/>
        <v>2.9080810960467897E-3</v>
      </c>
      <c r="L13" s="79">
        <v>0</v>
      </c>
      <c r="M13" s="78">
        <f t="shared" si="3"/>
        <v>0</v>
      </c>
      <c r="N13" s="79">
        <v>66.682000000000002</v>
      </c>
      <c r="O13" s="140">
        <f t="shared" si="4"/>
        <v>2.6783833990839051E-3</v>
      </c>
      <c r="P13" s="78">
        <f t="shared" si="22"/>
        <v>7.8124494745351658E-2</v>
      </c>
      <c r="Q13" s="78">
        <f t="shared" si="23"/>
        <v>0</v>
      </c>
      <c r="R13" s="78">
        <f t="shared" si="24"/>
        <v>7.8124494745351658E-2</v>
      </c>
      <c r="S13" s="77">
        <v>93.789000000000001</v>
      </c>
      <c r="T13" s="78">
        <f t="shared" si="25"/>
        <v>2.9968778328689966E-3</v>
      </c>
      <c r="U13" s="79">
        <v>0</v>
      </c>
      <c r="V13" s="78">
        <f t="shared" si="25"/>
        <v>0</v>
      </c>
      <c r="W13" s="79">
        <v>93.789000000000001</v>
      </c>
      <c r="X13" s="80">
        <f t="shared" si="5"/>
        <v>2.6540378507921873E-3</v>
      </c>
      <c r="Y13" s="79">
        <v>7.2009999999999996</v>
      </c>
      <c r="Z13" s="79">
        <v>6.2880000000000003</v>
      </c>
      <c r="AA13" s="79">
        <v>8.4629999999999992</v>
      </c>
      <c r="AB13" s="79">
        <v>8.17</v>
      </c>
      <c r="AC13" s="79">
        <v>8.42</v>
      </c>
      <c r="AD13" s="79">
        <v>7.8040000000000003</v>
      </c>
      <c r="AE13" s="79">
        <v>7.8319999999999999</v>
      </c>
      <c r="AF13" s="79">
        <v>7.6719999999999997</v>
      </c>
      <c r="AG13" s="79">
        <v>7.641</v>
      </c>
      <c r="AH13" s="79">
        <v>7.9480000000000004</v>
      </c>
      <c r="AI13" s="79">
        <v>7.9450000000000003</v>
      </c>
      <c r="AJ13" s="110">
        <v>8.4049999999999994</v>
      </c>
      <c r="AK13" s="77">
        <v>7.3540000000000001</v>
      </c>
      <c r="AL13" s="79">
        <v>8.6639999999999997</v>
      </c>
      <c r="AM13" s="79">
        <v>8.4670000000000005</v>
      </c>
      <c r="AN13" s="79">
        <v>8.1120000000000001</v>
      </c>
      <c r="AO13" s="79">
        <v>8.4949999999999992</v>
      </c>
      <c r="AP13" s="79">
        <v>8.5039999999999996</v>
      </c>
      <c r="AQ13" s="79">
        <v>8.8360000000000003</v>
      </c>
      <c r="AR13" s="79">
        <v>8.25</v>
      </c>
      <c r="AS13" s="111">
        <f t="shared" si="26"/>
        <v>8.4827999999999992</v>
      </c>
      <c r="AT13" s="111">
        <f t="shared" si="6"/>
        <v>8.4827999999999992</v>
      </c>
      <c r="AU13" s="111">
        <f t="shared" si="6"/>
        <v>8.4827999999999992</v>
      </c>
      <c r="AV13" s="112">
        <f t="shared" si="6"/>
        <v>8.4827999999999992</v>
      </c>
      <c r="AW13" s="105">
        <f t="shared" si="27"/>
        <v>0</v>
      </c>
      <c r="AX13" s="581">
        <f t="shared" si="28"/>
        <v>0</v>
      </c>
      <c r="AY13" s="77">
        <f t="shared" si="29"/>
        <v>100.61319999999998</v>
      </c>
      <c r="AZ13" s="139">
        <f t="shared" si="30"/>
        <v>2.9090986334263593E-3</v>
      </c>
      <c r="BA13" s="234">
        <f t="shared" si="31"/>
        <v>0</v>
      </c>
      <c r="BB13" s="78">
        <f t="shared" si="32"/>
        <v>0</v>
      </c>
      <c r="BC13" s="234">
        <f t="shared" si="33"/>
        <v>100.61319999999998</v>
      </c>
      <c r="BD13" s="139">
        <f t="shared" si="34"/>
        <v>2.6807177654143959E-3</v>
      </c>
      <c r="BE13" s="78">
        <f t="shared" si="35"/>
        <v>7.2761198008294947E-2</v>
      </c>
      <c r="BF13" s="78">
        <f t="shared" si="36"/>
        <v>0</v>
      </c>
      <c r="BG13" s="78">
        <f t="shared" si="37"/>
        <v>7.2761198008294947E-2</v>
      </c>
      <c r="BH13" s="590">
        <v>0</v>
      </c>
      <c r="BI13" s="78">
        <f t="shared" si="38"/>
        <v>0</v>
      </c>
      <c r="BJ13" s="591">
        <f t="shared" si="39"/>
        <v>0</v>
      </c>
      <c r="BK13" s="234">
        <f t="shared" si="40"/>
        <v>100.61319999999998</v>
      </c>
      <c r="BL13" s="78">
        <f t="shared" si="7"/>
        <v>2.8726340711457666E-3</v>
      </c>
      <c r="BM13" s="234">
        <f t="shared" si="41"/>
        <v>0</v>
      </c>
      <c r="BN13" s="78">
        <f t="shared" si="8"/>
        <v>0</v>
      </c>
      <c r="BO13" s="234">
        <f t="shared" si="42"/>
        <v>100.61319999999998</v>
      </c>
      <c r="BP13" s="80">
        <f t="shared" si="9"/>
        <v>2.6515507076304607E-3</v>
      </c>
      <c r="BQ13" s="584">
        <f t="shared" si="43"/>
        <v>7.3540000000000001</v>
      </c>
      <c r="BR13" s="111">
        <f t="shared" si="10"/>
        <v>8.6639999999999997</v>
      </c>
      <c r="BS13" s="111">
        <f t="shared" si="11"/>
        <v>8.4670000000000005</v>
      </c>
      <c r="BT13" s="111">
        <f t="shared" si="12"/>
        <v>8.1120000000000001</v>
      </c>
      <c r="BU13" s="111">
        <f t="shared" si="13"/>
        <v>8.4949999999999992</v>
      </c>
      <c r="BV13" s="111">
        <f t="shared" si="14"/>
        <v>8.5039999999999996</v>
      </c>
      <c r="BW13" s="111">
        <f t="shared" si="15"/>
        <v>8.8360000000000003</v>
      </c>
      <c r="BX13" s="111">
        <f t="shared" si="16"/>
        <v>8.25</v>
      </c>
      <c r="BY13" s="111">
        <f t="shared" si="17"/>
        <v>8.4827999999999992</v>
      </c>
      <c r="BZ13" s="111">
        <f t="shared" si="18"/>
        <v>8.4827999999999992</v>
      </c>
      <c r="CA13" s="111">
        <f t="shared" si="19"/>
        <v>8.4827999999999992</v>
      </c>
      <c r="CB13" s="112">
        <f t="shared" si="20"/>
        <v>8.4827999999999992</v>
      </c>
      <c r="CC13" s="93">
        <f t="shared" si="44"/>
        <v>0</v>
      </c>
      <c r="CD13" s="138">
        <f t="shared" si="45"/>
        <v>0</v>
      </c>
      <c r="CE13" s="139">
        <f t="shared" si="46"/>
        <v>0</v>
      </c>
      <c r="CF13" s="140">
        <f t="shared" si="47"/>
        <v>0</v>
      </c>
      <c r="CJ13" s="491">
        <f t="shared" si="48"/>
        <v>0</v>
      </c>
      <c r="CK13" s="269">
        <f t="shared" si="49"/>
        <v>0</v>
      </c>
      <c r="CL13" s="269">
        <f t="shared" si="50"/>
        <v>0</v>
      </c>
      <c r="CM13" s="269">
        <f t="shared" si="51"/>
        <v>0</v>
      </c>
      <c r="CN13" s="492">
        <f t="shared" si="52"/>
        <v>0</v>
      </c>
    </row>
    <row r="14" spans="1:93" ht="22.5" customHeight="1">
      <c r="B14" s="75" t="s">
        <v>67</v>
      </c>
      <c r="C14" s="644" t="s">
        <v>67</v>
      </c>
      <c r="D14" s="77">
        <v>199.8</v>
      </c>
      <c r="E14" s="139">
        <f t="shared" si="0"/>
        <v>9.8744701800637831E-3</v>
      </c>
      <c r="F14" s="79">
        <v>0</v>
      </c>
      <c r="G14" s="78">
        <f t="shared" si="1"/>
        <v>0</v>
      </c>
      <c r="H14" s="79">
        <v>199.8</v>
      </c>
      <c r="I14" s="140">
        <f t="shared" si="21"/>
        <v>8.6977602744905194E-3</v>
      </c>
      <c r="J14" s="77">
        <v>193.702</v>
      </c>
      <c r="K14" s="139">
        <f t="shared" si="2"/>
        <v>8.4475739249940812E-3</v>
      </c>
      <c r="L14" s="79">
        <v>0</v>
      </c>
      <c r="M14" s="78">
        <f t="shared" si="3"/>
        <v>0</v>
      </c>
      <c r="N14" s="79">
        <v>193.702</v>
      </c>
      <c r="O14" s="140">
        <f t="shared" si="4"/>
        <v>7.7803338407568846E-3</v>
      </c>
      <c r="P14" s="78">
        <f t="shared" si="22"/>
        <v>-3.0520520520520567E-2</v>
      </c>
      <c r="Q14" s="78">
        <f t="shared" si="23"/>
        <v>0</v>
      </c>
      <c r="R14" s="78">
        <f t="shared" si="24"/>
        <v>-3.0520520520520567E-2</v>
      </c>
      <c r="S14" s="77">
        <v>303.64600000000002</v>
      </c>
      <c r="T14" s="78">
        <f t="shared" si="25"/>
        <v>9.7025233922884285E-3</v>
      </c>
      <c r="U14" s="79">
        <v>0</v>
      </c>
      <c r="V14" s="78">
        <f t="shared" si="25"/>
        <v>0</v>
      </c>
      <c r="W14" s="79">
        <v>303.64600000000002</v>
      </c>
      <c r="X14" s="80">
        <f t="shared" si="5"/>
        <v>8.5925639173212685E-3</v>
      </c>
      <c r="Y14" s="79">
        <v>23.667999999999999</v>
      </c>
      <c r="Z14" s="79">
        <v>22.202000000000002</v>
      </c>
      <c r="AA14" s="79">
        <v>26.863</v>
      </c>
      <c r="AB14" s="79">
        <v>26.277000000000001</v>
      </c>
      <c r="AC14" s="79">
        <v>27.228999999999999</v>
      </c>
      <c r="AD14" s="79">
        <v>24.62</v>
      </c>
      <c r="AE14" s="79">
        <v>25.298999999999999</v>
      </c>
      <c r="AF14" s="79">
        <v>23.641999999999999</v>
      </c>
      <c r="AG14" s="79">
        <v>25.135999999999999</v>
      </c>
      <c r="AH14" s="79">
        <v>28.370999999999999</v>
      </c>
      <c r="AI14" s="79">
        <v>25.79</v>
      </c>
      <c r="AJ14" s="110">
        <v>24.548999999999999</v>
      </c>
      <c r="AK14" s="77">
        <v>24.218</v>
      </c>
      <c r="AL14" s="79">
        <v>24.094999999999999</v>
      </c>
      <c r="AM14" s="79">
        <v>25.462</v>
      </c>
      <c r="AN14" s="79">
        <v>24.323</v>
      </c>
      <c r="AO14" s="79">
        <v>26.065000000000001</v>
      </c>
      <c r="AP14" s="79">
        <v>23.251000000000001</v>
      </c>
      <c r="AQ14" s="79">
        <v>24.478999999999999</v>
      </c>
      <c r="AR14" s="79">
        <v>21.809000000000001</v>
      </c>
      <c r="AS14" s="111">
        <f t="shared" si="26"/>
        <v>24.716000000000001</v>
      </c>
      <c r="AT14" s="111">
        <f t="shared" si="6"/>
        <v>24.716000000000001</v>
      </c>
      <c r="AU14" s="111">
        <f t="shared" si="6"/>
        <v>24.716000000000001</v>
      </c>
      <c r="AV14" s="112">
        <f t="shared" si="6"/>
        <v>24.716000000000001</v>
      </c>
      <c r="AW14" s="105">
        <f t="shared" si="27"/>
        <v>0</v>
      </c>
      <c r="AX14" s="581">
        <f t="shared" si="28"/>
        <v>0</v>
      </c>
      <c r="AY14" s="77">
        <f t="shared" si="29"/>
        <v>292.56600000000003</v>
      </c>
      <c r="AZ14" s="139">
        <f t="shared" si="30"/>
        <v>8.4591619269342045E-3</v>
      </c>
      <c r="BA14" s="234">
        <f t="shared" si="31"/>
        <v>0</v>
      </c>
      <c r="BB14" s="78">
        <f t="shared" si="32"/>
        <v>0</v>
      </c>
      <c r="BC14" s="234">
        <f t="shared" si="33"/>
        <v>292.56600000000003</v>
      </c>
      <c r="BD14" s="139">
        <f t="shared" si="34"/>
        <v>7.7950693721721247E-3</v>
      </c>
      <c r="BE14" s="78">
        <f t="shared" si="35"/>
        <v>-3.6489859902649746E-2</v>
      </c>
      <c r="BF14" s="78">
        <f t="shared" si="36"/>
        <v>0</v>
      </c>
      <c r="BG14" s="78">
        <f t="shared" si="37"/>
        <v>-3.6489859902649746E-2</v>
      </c>
      <c r="BH14" s="590">
        <v>0</v>
      </c>
      <c r="BI14" s="78">
        <f t="shared" si="38"/>
        <v>0</v>
      </c>
      <c r="BJ14" s="591">
        <f t="shared" si="39"/>
        <v>0</v>
      </c>
      <c r="BK14" s="234">
        <f t="shared" si="40"/>
        <v>292.56600000000003</v>
      </c>
      <c r="BL14" s="78">
        <f t="shared" si="7"/>
        <v>8.3531292082831329E-3</v>
      </c>
      <c r="BM14" s="234">
        <f t="shared" si="41"/>
        <v>0</v>
      </c>
      <c r="BN14" s="78">
        <f t="shared" si="8"/>
        <v>0</v>
      </c>
      <c r="BO14" s="234">
        <f t="shared" si="42"/>
        <v>292.56600000000003</v>
      </c>
      <c r="BP14" s="80">
        <f t="shared" si="9"/>
        <v>7.7102565501207948E-3</v>
      </c>
      <c r="BQ14" s="584">
        <f t="shared" si="43"/>
        <v>24.218</v>
      </c>
      <c r="BR14" s="111">
        <f t="shared" si="10"/>
        <v>24.094999999999999</v>
      </c>
      <c r="BS14" s="111">
        <f t="shared" si="11"/>
        <v>25.462</v>
      </c>
      <c r="BT14" s="111">
        <f t="shared" si="12"/>
        <v>24.323</v>
      </c>
      <c r="BU14" s="111">
        <f t="shared" si="13"/>
        <v>26.065000000000001</v>
      </c>
      <c r="BV14" s="111">
        <f t="shared" si="14"/>
        <v>23.251000000000001</v>
      </c>
      <c r="BW14" s="111">
        <f t="shared" si="15"/>
        <v>24.478999999999999</v>
      </c>
      <c r="BX14" s="111">
        <f t="shared" si="16"/>
        <v>21.809000000000001</v>
      </c>
      <c r="BY14" s="111">
        <f t="shared" si="17"/>
        <v>24.716000000000001</v>
      </c>
      <c r="BZ14" s="111">
        <f t="shared" si="18"/>
        <v>24.716000000000001</v>
      </c>
      <c r="CA14" s="111">
        <f t="shared" si="19"/>
        <v>24.716000000000001</v>
      </c>
      <c r="CB14" s="112">
        <f t="shared" si="20"/>
        <v>24.716000000000001</v>
      </c>
      <c r="CC14" s="93">
        <f t="shared" si="44"/>
        <v>0</v>
      </c>
      <c r="CD14" s="138">
        <f t="shared" si="45"/>
        <v>0</v>
      </c>
      <c r="CE14" s="139">
        <f t="shared" si="46"/>
        <v>0</v>
      </c>
      <c r="CF14" s="140">
        <f t="shared" si="47"/>
        <v>0</v>
      </c>
      <c r="CJ14" s="491">
        <f t="shared" si="48"/>
        <v>0</v>
      </c>
      <c r="CK14" s="269">
        <f t="shared" si="49"/>
        <v>0</v>
      </c>
      <c r="CL14" s="269">
        <f t="shared" si="50"/>
        <v>0</v>
      </c>
      <c r="CM14" s="269">
        <f t="shared" si="51"/>
        <v>0</v>
      </c>
      <c r="CN14" s="492">
        <f t="shared" si="52"/>
        <v>0</v>
      </c>
    </row>
    <row r="15" spans="1:93" ht="22.5" customHeight="1">
      <c r="B15" s="75" t="s">
        <v>68</v>
      </c>
      <c r="C15" s="644" t="s">
        <v>93</v>
      </c>
      <c r="D15" s="77">
        <v>109.474</v>
      </c>
      <c r="E15" s="139">
        <f t="shared" si="0"/>
        <v>5.4103991416031161E-3</v>
      </c>
      <c r="F15" s="79">
        <v>21.216000000000001</v>
      </c>
      <c r="G15" s="78">
        <f t="shared" si="1"/>
        <v>7.7503238434241698E-3</v>
      </c>
      <c r="H15" s="79">
        <v>130.69</v>
      </c>
      <c r="I15" s="140">
        <f t="shared" si="21"/>
        <v>5.6892406920578866E-3</v>
      </c>
      <c r="J15" s="77">
        <v>105.929</v>
      </c>
      <c r="K15" s="139">
        <f t="shared" si="2"/>
        <v>4.6196893078063106E-3</v>
      </c>
      <c r="L15" s="79">
        <v>22.094000000000001</v>
      </c>
      <c r="M15" s="78">
        <f t="shared" si="3"/>
        <v>1.1235395105122697E-2</v>
      </c>
      <c r="N15" s="79">
        <v>128.023</v>
      </c>
      <c r="O15" s="140">
        <f t="shared" si="4"/>
        <v>5.1422374538993842E-3</v>
      </c>
      <c r="P15" s="78">
        <f t="shared" si="22"/>
        <v>-3.2382118128505444E-2</v>
      </c>
      <c r="Q15" s="78">
        <f t="shared" si="23"/>
        <v>4.1383861236802488E-2</v>
      </c>
      <c r="R15" s="78">
        <f t="shared" si="24"/>
        <v>-2.0407070166041819E-2</v>
      </c>
      <c r="S15" s="77">
        <v>167.68700000000001</v>
      </c>
      <c r="T15" s="78">
        <f t="shared" si="25"/>
        <v>5.358170501447968E-3</v>
      </c>
      <c r="U15" s="79">
        <v>33.255000000000003</v>
      </c>
      <c r="V15" s="78">
        <f t="shared" si="25"/>
        <v>8.2260195020110553E-3</v>
      </c>
      <c r="W15" s="79">
        <v>200.94200000000001</v>
      </c>
      <c r="X15" s="80">
        <f t="shared" si="5"/>
        <v>5.686249707469785E-3</v>
      </c>
      <c r="Y15" s="79">
        <v>13.037000000000001</v>
      </c>
      <c r="Z15" s="79">
        <v>13.307</v>
      </c>
      <c r="AA15" s="79">
        <v>15.423999999999999</v>
      </c>
      <c r="AB15" s="79">
        <v>16.852</v>
      </c>
      <c r="AC15" s="79">
        <v>16.811</v>
      </c>
      <c r="AD15" s="79">
        <v>13.635999999999999</v>
      </c>
      <c r="AE15" s="79">
        <v>11.215999999999999</v>
      </c>
      <c r="AF15" s="79">
        <v>9.1910000000000007</v>
      </c>
      <c r="AG15" s="79">
        <v>11.718</v>
      </c>
      <c r="AH15" s="79">
        <v>16.266999999999999</v>
      </c>
      <c r="AI15" s="79">
        <v>16.27</v>
      </c>
      <c r="AJ15" s="110">
        <v>13.958</v>
      </c>
      <c r="AK15" s="77">
        <v>14.731</v>
      </c>
      <c r="AL15" s="79">
        <v>15.654999999999999</v>
      </c>
      <c r="AM15" s="79">
        <v>14.903</v>
      </c>
      <c r="AN15" s="79">
        <v>13.907999999999999</v>
      </c>
      <c r="AO15" s="79">
        <v>14.416</v>
      </c>
      <c r="AP15" s="79">
        <v>12.121</v>
      </c>
      <c r="AQ15" s="79">
        <v>11.061999999999999</v>
      </c>
      <c r="AR15" s="79">
        <v>9.1329999999999991</v>
      </c>
      <c r="AS15" s="111">
        <f t="shared" si="26"/>
        <v>13.282000000000002</v>
      </c>
      <c r="AT15" s="111">
        <f t="shared" si="6"/>
        <v>13.282000000000002</v>
      </c>
      <c r="AU15" s="111">
        <f t="shared" si="6"/>
        <v>13.282000000000002</v>
      </c>
      <c r="AV15" s="112">
        <f t="shared" si="6"/>
        <v>13.282000000000002</v>
      </c>
      <c r="AW15" s="105">
        <f t="shared" si="27"/>
        <v>0.20857366726769819</v>
      </c>
      <c r="AX15" s="581">
        <f t="shared" si="28"/>
        <v>0.20857366726769819</v>
      </c>
      <c r="AY15" s="77">
        <f t="shared" si="29"/>
        <v>159.05700000000002</v>
      </c>
      <c r="AZ15" s="139">
        <f t="shared" si="30"/>
        <v>4.5989244088936298E-3</v>
      </c>
      <c r="BA15" s="234">
        <f t="shared" si="31"/>
        <v>33.17510179459827</v>
      </c>
      <c r="BB15" s="78">
        <f t="shared" si="32"/>
        <v>1.1259189319681489E-2</v>
      </c>
      <c r="BC15" s="234">
        <f t="shared" si="33"/>
        <v>192.23210179459829</v>
      </c>
      <c r="BD15" s="139">
        <f t="shared" si="34"/>
        <v>5.121793267322065E-3</v>
      </c>
      <c r="BE15" s="78">
        <f t="shared" si="35"/>
        <v>-5.1464931688204762E-2</v>
      </c>
      <c r="BF15" s="78">
        <f t="shared" si="36"/>
        <v>-2.4025922538485345E-3</v>
      </c>
      <c r="BG15" s="78">
        <f t="shared" si="37"/>
        <v>-4.3345334501506461E-2</v>
      </c>
      <c r="BH15" s="588">
        <f>$BH$1</f>
        <v>2.5000000000000001E-2</v>
      </c>
      <c r="BI15" s="78">
        <f t="shared" si="38"/>
        <v>0.20857366726769816</v>
      </c>
      <c r="BJ15" s="591">
        <f t="shared" si="39"/>
        <v>0.20857366726769816</v>
      </c>
      <c r="BK15" s="234">
        <f t="shared" si="40"/>
        <v>163.03342499999999</v>
      </c>
      <c r="BL15" s="78">
        <f t="shared" si="7"/>
        <v>4.654810416432318E-3</v>
      </c>
      <c r="BM15" s="234">
        <f t="shared" si="41"/>
        <v>34.004479339463224</v>
      </c>
      <c r="BN15" s="78">
        <f t="shared" si="8"/>
        <v>1.1644084499504253E-2</v>
      </c>
      <c r="BO15" s="234">
        <f t="shared" si="42"/>
        <v>197.03790433946321</v>
      </c>
      <c r="BP15" s="80">
        <f t="shared" si="9"/>
        <v>5.1927181988181154E-3</v>
      </c>
      <c r="BQ15" s="584">
        <f t="shared" si="43"/>
        <v>15.099274999999999</v>
      </c>
      <c r="BR15" s="111">
        <f t="shared" si="10"/>
        <v>16.046374999999998</v>
      </c>
      <c r="BS15" s="111">
        <f t="shared" si="11"/>
        <v>15.275575</v>
      </c>
      <c r="BT15" s="111">
        <f t="shared" si="12"/>
        <v>14.255699999999997</v>
      </c>
      <c r="BU15" s="111">
        <f t="shared" si="13"/>
        <v>14.776399999999999</v>
      </c>
      <c r="BV15" s="111">
        <f t="shared" si="14"/>
        <v>12.424024999999999</v>
      </c>
      <c r="BW15" s="111">
        <f t="shared" si="15"/>
        <v>11.338549999999998</v>
      </c>
      <c r="BX15" s="111">
        <f t="shared" si="16"/>
        <v>9.361324999999999</v>
      </c>
      <c r="BY15" s="111">
        <f t="shared" si="17"/>
        <v>13.614050000000001</v>
      </c>
      <c r="BZ15" s="111">
        <f t="shared" si="18"/>
        <v>13.614050000000001</v>
      </c>
      <c r="CA15" s="111">
        <f t="shared" si="19"/>
        <v>13.614050000000001</v>
      </c>
      <c r="CB15" s="112">
        <f t="shared" si="20"/>
        <v>13.614050000000001</v>
      </c>
      <c r="CC15" s="93">
        <f t="shared" si="44"/>
        <v>0</v>
      </c>
      <c r="CD15" s="138">
        <f t="shared" si="45"/>
        <v>2.4999999999999911E-2</v>
      </c>
      <c r="CE15" s="139">
        <f t="shared" si="46"/>
        <v>2.4999999999999911E-2</v>
      </c>
      <c r="CF15" s="140">
        <f t="shared" si="47"/>
        <v>2.4999999999999689E-2</v>
      </c>
      <c r="CJ15" s="491">
        <f t="shared" si="48"/>
        <v>1.1322249999999912</v>
      </c>
      <c r="CK15" s="269">
        <f t="shared" si="49"/>
        <v>1.0111249999999927</v>
      </c>
      <c r="CL15" s="269">
        <f t="shared" si="50"/>
        <v>0.8369249999999937</v>
      </c>
      <c r="CM15" s="269">
        <f t="shared" si="51"/>
        <v>0.99615000000000009</v>
      </c>
      <c r="CN15" s="492">
        <f t="shared" si="52"/>
        <v>2.8421709430404007E-14</v>
      </c>
    </row>
    <row r="16" spans="1:93" ht="22.5" customHeight="1">
      <c r="B16" s="75" t="s">
        <v>69</v>
      </c>
      <c r="C16" s="644" t="s">
        <v>91</v>
      </c>
      <c r="D16" s="77">
        <v>440.42700000000002</v>
      </c>
      <c r="E16" s="139">
        <f t="shared" si="0"/>
        <v>2.1766683073047806E-2</v>
      </c>
      <c r="F16" s="79">
        <v>79.543999999999997</v>
      </c>
      <c r="G16" s="78">
        <f t="shared" si="1"/>
        <v>2.9057869523064297E-2</v>
      </c>
      <c r="H16" s="79">
        <v>519.971</v>
      </c>
      <c r="I16" s="140">
        <f t="shared" si="21"/>
        <v>2.2635551089525072E-2</v>
      </c>
      <c r="J16" s="77">
        <v>410.56900000000002</v>
      </c>
      <c r="K16" s="139">
        <f t="shared" si="2"/>
        <v>1.7905400970619274E-2</v>
      </c>
      <c r="L16" s="79">
        <v>72.561000000000007</v>
      </c>
      <c r="M16" s="78">
        <f t="shared" si="3"/>
        <v>3.689922622534661E-2</v>
      </c>
      <c r="N16" s="79">
        <v>483.13</v>
      </c>
      <c r="O16" s="140">
        <f t="shared" si="4"/>
        <v>1.9405647275117829E-2</v>
      </c>
      <c r="P16" s="78">
        <f t="shared" si="22"/>
        <v>-6.7793300592379646E-2</v>
      </c>
      <c r="Q16" s="78">
        <f t="shared" si="23"/>
        <v>-8.7787890978577754E-2</v>
      </c>
      <c r="R16" s="78">
        <f t="shared" si="24"/>
        <v>-7.0852028286192859E-2</v>
      </c>
      <c r="S16" s="77">
        <v>703.76700000000005</v>
      </c>
      <c r="T16" s="78">
        <f t="shared" si="25"/>
        <v>2.2487751461309061E-2</v>
      </c>
      <c r="U16" s="79">
        <v>126.286</v>
      </c>
      <c r="V16" s="78">
        <f t="shared" si="25"/>
        <v>3.1238343071146233E-2</v>
      </c>
      <c r="W16" s="79">
        <v>830.053</v>
      </c>
      <c r="X16" s="80">
        <f t="shared" si="5"/>
        <v>2.3488810843101081E-2</v>
      </c>
      <c r="Y16" s="79">
        <v>51.503</v>
      </c>
      <c r="Z16" s="79">
        <v>52.484999999999999</v>
      </c>
      <c r="AA16" s="79">
        <v>60.207999999999998</v>
      </c>
      <c r="AB16" s="79">
        <v>65.227999999999994</v>
      </c>
      <c r="AC16" s="79">
        <v>66.009</v>
      </c>
      <c r="AD16" s="79">
        <v>56.219000000000001</v>
      </c>
      <c r="AE16" s="79">
        <v>47.264000000000003</v>
      </c>
      <c r="AF16" s="79">
        <v>41.511000000000003</v>
      </c>
      <c r="AG16" s="79">
        <v>60.55</v>
      </c>
      <c r="AH16" s="79">
        <v>76.593999999999994</v>
      </c>
      <c r="AI16" s="79">
        <v>69.569999999999993</v>
      </c>
      <c r="AJ16" s="110">
        <v>56.625999999999998</v>
      </c>
      <c r="AK16" s="77">
        <v>58.557000000000002</v>
      </c>
      <c r="AL16" s="79">
        <v>62.972000000000001</v>
      </c>
      <c r="AM16" s="79">
        <v>60.19</v>
      </c>
      <c r="AN16" s="79">
        <v>54.45</v>
      </c>
      <c r="AO16" s="79">
        <v>57.173999999999999</v>
      </c>
      <c r="AP16" s="79">
        <v>46.701999999999998</v>
      </c>
      <c r="AQ16" s="79">
        <v>39.887</v>
      </c>
      <c r="AR16" s="79">
        <v>30.637</v>
      </c>
      <c r="AS16" s="111">
        <f t="shared" si="26"/>
        <v>51.680600000000005</v>
      </c>
      <c r="AT16" s="111">
        <f t="shared" si="6"/>
        <v>51.680600000000005</v>
      </c>
      <c r="AU16" s="111">
        <f t="shared" si="6"/>
        <v>51.680600000000005</v>
      </c>
      <c r="AV16" s="112">
        <f t="shared" si="6"/>
        <v>51.680600000000005</v>
      </c>
      <c r="AW16" s="105">
        <f t="shared" si="27"/>
        <v>0.17673277816883398</v>
      </c>
      <c r="AX16" s="581">
        <f t="shared" si="28"/>
        <v>0.17673277816883398</v>
      </c>
      <c r="AY16" s="77">
        <f t="shared" si="29"/>
        <v>617.29140000000007</v>
      </c>
      <c r="AZ16" s="139">
        <f t="shared" si="30"/>
        <v>1.7848170698932592E-2</v>
      </c>
      <c r="BA16" s="234">
        <f t="shared" si="31"/>
        <v>109.09562406172898</v>
      </c>
      <c r="BB16" s="78">
        <f t="shared" si="32"/>
        <v>3.7025607121416823E-2</v>
      </c>
      <c r="BC16" s="234">
        <f t="shared" si="33"/>
        <v>726.38702406172911</v>
      </c>
      <c r="BD16" s="139">
        <f t="shared" si="34"/>
        <v>1.9353709055757812E-2</v>
      </c>
      <c r="BE16" s="78">
        <f t="shared" si="35"/>
        <v>-0.12287532663509371</v>
      </c>
      <c r="BF16" s="78">
        <f t="shared" si="36"/>
        <v>-0.13612257841938946</v>
      </c>
      <c r="BG16" s="78">
        <f t="shared" si="37"/>
        <v>-0.12489079123654867</v>
      </c>
      <c r="BH16" s="588">
        <f>$BH$1</f>
        <v>2.5000000000000001E-2</v>
      </c>
      <c r="BI16" s="78">
        <f t="shared" si="38"/>
        <v>0.17673277816883398</v>
      </c>
      <c r="BJ16" s="591">
        <f t="shared" si="39"/>
        <v>0.17673277816883398</v>
      </c>
      <c r="BK16" s="234">
        <f t="shared" si="40"/>
        <v>632.72368500000005</v>
      </c>
      <c r="BL16" s="78">
        <f t="shared" si="7"/>
        <v>1.8065061196263534E-2</v>
      </c>
      <c r="BM16" s="234">
        <f t="shared" si="41"/>
        <v>111.8230146632722</v>
      </c>
      <c r="BN16" s="78">
        <f t="shared" si="8"/>
        <v>3.8291326819915324E-2</v>
      </c>
      <c r="BO16" s="234">
        <f t="shared" si="42"/>
        <v>744.54669966327219</v>
      </c>
      <c r="BP16" s="80">
        <f t="shared" si="9"/>
        <v>1.9621712939813799E-2</v>
      </c>
      <c r="BQ16" s="584">
        <f t="shared" si="43"/>
        <v>60.020924999999998</v>
      </c>
      <c r="BR16" s="111">
        <f t="shared" si="10"/>
        <v>64.546300000000002</v>
      </c>
      <c r="BS16" s="111">
        <f t="shared" si="11"/>
        <v>61.694749999999992</v>
      </c>
      <c r="BT16" s="111">
        <f t="shared" si="12"/>
        <v>55.811250000000001</v>
      </c>
      <c r="BU16" s="111">
        <f t="shared" si="13"/>
        <v>58.603349999999992</v>
      </c>
      <c r="BV16" s="111">
        <f t="shared" si="14"/>
        <v>47.869549999999997</v>
      </c>
      <c r="BW16" s="111">
        <f t="shared" si="15"/>
        <v>40.884174999999999</v>
      </c>
      <c r="BX16" s="111">
        <f t="shared" si="16"/>
        <v>31.402924999999996</v>
      </c>
      <c r="BY16" s="111">
        <f t="shared" si="17"/>
        <v>52.972614999999998</v>
      </c>
      <c r="BZ16" s="111">
        <f t="shared" si="18"/>
        <v>52.972614999999998</v>
      </c>
      <c r="CA16" s="111">
        <f t="shared" si="19"/>
        <v>52.972614999999998</v>
      </c>
      <c r="CB16" s="112">
        <f t="shared" si="20"/>
        <v>52.972614999999998</v>
      </c>
      <c r="CC16" s="93">
        <f t="shared" si="44"/>
        <v>0</v>
      </c>
      <c r="CD16" s="138">
        <f t="shared" si="45"/>
        <v>2.4999999999999911E-2</v>
      </c>
      <c r="CE16" s="139">
        <f t="shared" si="46"/>
        <v>2.4999999999999911E-2</v>
      </c>
      <c r="CF16" s="140">
        <f t="shared" si="47"/>
        <v>2.4999999999999911E-2</v>
      </c>
      <c r="CJ16" s="491">
        <f t="shared" si="48"/>
        <v>4.5429750000000126</v>
      </c>
      <c r="CK16" s="269">
        <f t="shared" si="49"/>
        <v>3.9581499999999892</v>
      </c>
      <c r="CL16" s="269">
        <f t="shared" si="50"/>
        <v>3.0551150000000007</v>
      </c>
      <c r="CM16" s="269">
        <f t="shared" si="51"/>
        <v>3.8760449999999764</v>
      </c>
      <c r="CN16" s="492">
        <f t="shared" si="52"/>
        <v>0</v>
      </c>
    </row>
    <row r="17" spans="2:93" ht="22.5" customHeight="1">
      <c r="B17" s="75" t="s">
        <v>70</v>
      </c>
      <c r="C17" s="645" t="s">
        <v>70</v>
      </c>
      <c r="D17" s="77">
        <v>18.564</v>
      </c>
      <c r="E17" s="139">
        <f t="shared" si="0"/>
        <v>9.1746578790142174E-4</v>
      </c>
      <c r="F17" s="79">
        <v>0.28000000000000003</v>
      </c>
      <c r="G17" s="78">
        <f t="shared" si="1"/>
        <v>1.0228557108591476E-4</v>
      </c>
      <c r="H17" s="79">
        <v>18.844000000000001</v>
      </c>
      <c r="I17" s="140">
        <f t="shared" si="21"/>
        <v>8.2032329635885551E-4</v>
      </c>
      <c r="J17" s="77">
        <v>15.715999999999999</v>
      </c>
      <c r="K17" s="139">
        <f t="shared" si="2"/>
        <v>6.8539339710073702E-4</v>
      </c>
      <c r="L17" s="79">
        <v>0.49199999999999999</v>
      </c>
      <c r="M17" s="78">
        <f t="shared" si="3"/>
        <v>2.5019527436047643E-4</v>
      </c>
      <c r="N17" s="79">
        <v>16.207999999999998</v>
      </c>
      <c r="O17" s="140">
        <f t="shared" si="4"/>
        <v>6.5101883765261877E-4</v>
      </c>
      <c r="P17" s="78">
        <f t="shared" si="22"/>
        <v>-0.15341521223874166</v>
      </c>
      <c r="Q17" s="78">
        <f t="shared" si="23"/>
        <v>0.7571428571428569</v>
      </c>
      <c r="R17" s="78">
        <f t="shared" si="24"/>
        <v>-0.13988537465506279</v>
      </c>
      <c r="S17" s="77">
        <v>26.349</v>
      </c>
      <c r="T17" s="78">
        <f t="shared" si="25"/>
        <v>8.4194024905122344E-4</v>
      </c>
      <c r="U17" s="79">
        <v>0.504</v>
      </c>
      <c r="V17" s="78">
        <f t="shared" si="25"/>
        <v>1.2467039028758297E-4</v>
      </c>
      <c r="W17" s="79">
        <v>26.853000000000002</v>
      </c>
      <c r="X17" s="80">
        <f t="shared" si="5"/>
        <v>7.5988525741102475E-4</v>
      </c>
      <c r="Y17" s="79">
        <v>2.093</v>
      </c>
      <c r="Z17" s="79">
        <v>2.58</v>
      </c>
      <c r="AA17" s="79">
        <v>2.5990000000000002</v>
      </c>
      <c r="AB17" s="79">
        <v>2.6139999999999999</v>
      </c>
      <c r="AC17" s="79">
        <v>2.4</v>
      </c>
      <c r="AD17" s="79">
        <v>2.2890000000000001</v>
      </c>
      <c r="AE17" s="79">
        <v>2.2170000000000001</v>
      </c>
      <c r="AF17" s="79">
        <v>1.772</v>
      </c>
      <c r="AG17" s="79">
        <v>1.827</v>
      </c>
      <c r="AH17" s="79">
        <v>2.0750000000000002</v>
      </c>
      <c r="AI17" s="79">
        <v>1.956</v>
      </c>
      <c r="AJ17" s="110">
        <v>1.927</v>
      </c>
      <c r="AK17" s="77">
        <v>2.1549999999999998</v>
      </c>
      <c r="AL17" s="79">
        <v>1.627</v>
      </c>
      <c r="AM17" s="79">
        <v>2.0830000000000002</v>
      </c>
      <c r="AN17" s="79">
        <v>2.4590000000000001</v>
      </c>
      <c r="AO17" s="79">
        <v>2.0659999999999998</v>
      </c>
      <c r="AP17" s="79">
        <v>1.984</v>
      </c>
      <c r="AQ17" s="79">
        <v>2.028</v>
      </c>
      <c r="AR17" s="79">
        <v>1.3140000000000001</v>
      </c>
      <c r="AS17" s="111">
        <f t="shared" si="26"/>
        <v>2.1239999999999997</v>
      </c>
      <c r="AT17" s="111">
        <f t="shared" si="6"/>
        <v>2.1239999999999997</v>
      </c>
      <c r="AU17" s="111">
        <f t="shared" si="6"/>
        <v>2.1239999999999997</v>
      </c>
      <c r="AV17" s="112">
        <f t="shared" si="6"/>
        <v>2.1239999999999997</v>
      </c>
      <c r="AW17" s="105">
        <f t="shared" si="27"/>
        <v>3.1305675744464238E-2</v>
      </c>
      <c r="AX17" s="581">
        <f t="shared" si="28"/>
        <v>3.1305675744464238E-2</v>
      </c>
      <c r="AY17" s="77">
        <f t="shared" si="29"/>
        <v>24.211999999999996</v>
      </c>
      <c r="AZ17" s="139">
        <f t="shared" si="30"/>
        <v>7.0005820421693192E-4</v>
      </c>
      <c r="BA17" s="234">
        <f t="shared" si="31"/>
        <v>0.75797302112496812</v>
      </c>
      <c r="BB17" s="78">
        <f t="shared" si="32"/>
        <v>2.5724598516368459E-4</v>
      </c>
      <c r="BC17" s="234">
        <f t="shared" si="33"/>
        <v>24.969973021124964</v>
      </c>
      <c r="BD17" s="139">
        <f t="shared" si="34"/>
        <v>6.6529491438149151E-4</v>
      </c>
      <c r="BE17" s="78">
        <f t="shared" si="35"/>
        <v>-8.1103647197237283E-2</v>
      </c>
      <c r="BF17" s="78">
        <f t="shared" si="36"/>
        <v>0.50391472445430185</v>
      </c>
      <c r="BG17" s="78">
        <f t="shared" si="37"/>
        <v>-7.0123523586751446E-2</v>
      </c>
      <c r="BH17" s="590">
        <v>0</v>
      </c>
      <c r="BI17" s="78">
        <f t="shared" si="38"/>
        <v>3.1305675744464245E-2</v>
      </c>
      <c r="BJ17" s="591">
        <f t="shared" si="39"/>
        <v>3.1305675744464245E-2</v>
      </c>
      <c r="BK17" s="234">
        <f t="shared" si="40"/>
        <v>24.211999999999996</v>
      </c>
      <c r="BL17" s="78">
        <f t="shared" si="7"/>
        <v>6.9128321264586858E-4</v>
      </c>
      <c r="BM17" s="234">
        <f t="shared" si="41"/>
        <v>0.75797302112496823</v>
      </c>
      <c r="BN17" s="78">
        <f t="shared" si="8"/>
        <v>2.5955115554676135E-4</v>
      </c>
      <c r="BO17" s="234">
        <f t="shared" si="42"/>
        <v>24.969973021124964</v>
      </c>
      <c r="BP17" s="80">
        <f t="shared" si="9"/>
        <v>6.5805629513500635E-4</v>
      </c>
      <c r="BQ17" s="584">
        <f t="shared" si="43"/>
        <v>2.1549999999999998</v>
      </c>
      <c r="BR17" s="111">
        <f t="shared" si="10"/>
        <v>1.627</v>
      </c>
      <c r="BS17" s="111">
        <f t="shared" si="11"/>
        <v>2.0830000000000002</v>
      </c>
      <c r="BT17" s="111">
        <f t="shared" si="12"/>
        <v>2.4590000000000001</v>
      </c>
      <c r="BU17" s="111">
        <f t="shared" si="13"/>
        <v>2.0659999999999998</v>
      </c>
      <c r="BV17" s="111">
        <f t="shared" si="14"/>
        <v>1.984</v>
      </c>
      <c r="BW17" s="111">
        <f t="shared" si="15"/>
        <v>2.028</v>
      </c>
      <c r="BX17" s="111">
        <f t="shared" si="16"/>
        <v>1.3140000000000001</v>
      </c>
      <c r="BY17" s="111">
        <f t="shared" si="17"/>
        <v>2.1239999999999997</v>
      </c>
      <c r="BZ17" s="111">
        <f t="shared" si="18"/>
        <v>2.1239999999999997</v>
      </c>
      <c r="CA17" s="111">
        <f t="shared" si="19"/>
        <v>2.1239999999999997</v>
      </c>
      <c r="CB17" s="112">
        <f t="shared" si="20"/>
        <v>2.1239999999999997</v>
      </c>
      <c r="CC17" s="93">
        <f t="shared" si="44"/>
        <v>0</v>
      </c>
      <c r="CD17" s="138">
        <f t="shared" si="45"/>
        <v>0</v>
      </c>
      <c r="CE17" s="139">
        <f t="shared" si="46"/>
        <v>2.2204460492503131E-16</v>
      </c>
      <c r="CF17" s="140">
        <f t="shared" si="47"/>
        <v>0</v>
      </c>
      <c r="CJ17" s="491">
        <f t="shared" si="48"/>
        <v>0</v>
      </c>
      <c r="CK17" s="269">
        <f t="shared" si="49"/>
        <v>0</v>
      </c>
      <c r="CL17" s="269">
        <f t="shared" si="50"/>
        <v>0</v>
      </c>
      <c r="CM17" s="269">
        <f t="shared" si="51"/>
        <v>0</v>
      </c>
      <c r="CN17" s="492">
        <f t="shared" si="52"/>
        <v>0</v>
      </c>
    </row>
    <row r="18" spans="2:93" ht="22.5" customHeight="1">
      <c r="B18" s="75" t="s">
        <v>71</v>
      </c>
      <c r="C18" s="644" t="s">
        <v>97</v>
      </c>
      <c r="D18" s="77">
        <v>9.2040000000000006</v>
      </c>
      <c r="E18" s="139">
        <f t="shared" si="0"/>
        <v>4.5487799568221752E-4</v>
      </c>
      <c r="F18" s="79">
        <v>0</v>
      </c>
      <c r="G18" s="78">
        <f t="shared" si="1"/>
        <v>0</v>
      </c>
      <c r="H18" s="79">
        <v>9.2040000000000006</v>
      </c>
      <c r="I18" s="140">
        <f t="shared" si="21"/>
        <v>4.0067159943148515E-4</v>
      </c>
      <c r="J18" s="77">
        <v>8.7390000000000008</v>
      </c>
      <c r="K18" s="139">
        <f t="shared" si="2"/>
        <v>3.8111815330003446E-4</v>
      </c>
      <c r="L18" s="79">
        <v>0</v>
      </c>
      <c r="M18" s="78">
        <f t="shared" si="3"/>
        <v>0</v>
      </c>
      <c r="N18" s="79">
        <v>8.7390000000000008</v>
      </c>
      <c r="O18" s="140">
        <f t="shared" si="4"/>
        <v>3.5101515438340551E-4</v>
      </c>
      <c r="P18" s="78">
        <f t="shared" si="22"/>
        <v>-5.0521512385919176E-2</v>
      </c>
      <c r="Q18" s="78">
        <f t="shared" si="23"/>
        <v>0</v>
      </c>
      <c r="R18" s="78">
        <f t="shared" si="24"/>
        <v>-5.0521512385919176E-2</v>
      </c>
      <c r="S18" s="77">
        <v>13.750999999999999</v>
      </c>
      <c r="T18" s="78">
        <f t="shared" si="25"/>
        <v>4.3939126208597567E-4</v>
      </c>
      <c r="U18" s="79">
        <v>0</v>
      </c>
      <c r="V18" s="78">
        <f t="shared" si="25"/>
        <v>0</v>
      </c>
      <c r="W18" s="79">
        <v>13.750999999999999</v>
      </c>
      <c r="X18" s="80">
        <f t="shared" si="5"/>
        <v>3.8912531838748005E-4</v>
      </c>
      <c r="Y18" s="79">
        <v>1.107</v>
      </c>
      <c r="Z18" s="79">
        <v>1.052</v>
      </c>
      <c r="AA18" s="79">
        <v>1.1910000000000001</v>
      </c>
      <c r="AB18" s="79">
        <v>1.2170000000000001</v>
      </c>
      <c r="AC18" s="79">
        <v>1.1379999999999999</v>
      </c>
      <c r="AD18" s="79">
        <v>1.07</v>
      </c>
      <c r="AE18" s="79">
        <v>1.304</v>
      </c>
      <c r="AF18" s="79">
        <v>1.125</v>
      </c>
      <c r="AG18" s="79">
        <v>1.1559999999999999</v>
      </c>
      <c r="AH18" s="79">
        <v>1.246</v>
      </c>
      <c r="AI18" s="79">
        <v>1.1180000000000001</v>
      </c>
      <c r="AJ18" s="110">
        <v>1.0269999999999999</v>
      </c>
      <c r="AK18" s="77">
        <v>1.087</v>
      </c>
      <c r="AL18" s="79">
        <v>1.006</v>
      </c>
      <c r="AM18" s="79">
        <v>1.1739999999999999</v>
      </c>
      <c r="AN18" s="79">
        <v>1.0860000000000001</v>
      </c>
      <c r="AO18" s="79">
        <v>1.1399999999999999</v>
      </c>
      <c r="AP18" s="79">
        <v>1.1020000000000001</v>
      </c>
      <c r="AQ18" s="79">
        <v>1.2210000000000001</v>
      </c>
      <c r="AR18" s="79">
        <v>0.92300000000000004</v>
      </c>
      <c r="AS18" s="111">
        <f t="shared" si="26"/>
        <v>1.1446000000000001</v>
      </c>
      <c r="AT18" s="111">
        <f t="shared" si="6"/>
        <v>1.1446000000000001</v>
      </c>
      <c r="AU18" s="111">
        <f t="shared" si="6"/>
        <v>1.1446000000000001</v>
      </c>
      <c r="AV18" s="112">
        <f t="shared" si="6"/>
        <v>1.1446000000000001</v>
      </c>
      <c r="AW18" s="105">
        <f t="shared" si="27"/>
        <v>0</v>
      </c>
      <c r="AX18" s="581">
        <f t="shared" si="28"/>
        <v>0</v>
      </c>
      <c r="AY18" s="77">
        <f t="shared" si="29"/>
        <v>13.317400000000003</v>
      </c>
      <c r="AZ18" s="139">
        <f t="shared" si="30"/>
        <v>3.8505514326939421E-4</v>
      </c>
      <c r="BA18" s="234">
        <f t="shared" si="31"/>
        <v>0</v>
      </c>
      <c r="BB18" s="78">
        <f t="shared" si="32"/>
        <v>0</v>
      </c>
      <c r="BC18" s="234">
        <f t="shared" si="33"/>
        <v>13.317400000000003</v>
      </c>
      <c r="BD18" s="139">
        <f t="shared" si="34"/>
        <v>3.548261139604912E-4</v>
      </c>
      <c r="BE18" s="78">
        <f t="shared" si="35"/>
        <v>-3.1532252199839794E-2</v>
      </c>
      <c r="BF18" s="78">
        <f t="shared" si="36"/>
        <v>0</v>
      </c>
      <c r="BG18" s="78">
        <f t="shared" si="37"/>
        <v>-3.1532252199839794E-2</v>
      </c>
      <c r="BH18" s="590">
        <v>0</v>
      </c>
      <c r="BI18" s="78">
        <f t="shared" si="38"/>
        <v>0</v>
      </c>
      <c r="BJ18" s="591">
        <f t="shared" si="39"/>
        <v>0</v>
      </c>
      <c r="BK18" s="234">
        <f t="shared" si="40"/>
        <v>13.317400000000003</v>
      </c>
      <c r="BL18" s="78">
        <f t="shared" si="7"/>
        <v>3.8022860796671455E-4</v>
      </c>
      <c r="BM18" s="234">
        <f t="shared" si="41"/>
        <v>0</v>
      </c>
      <c r="BN18" s="78">
        <f t="shared" si="8"/>
        <v>0</v>
      </c>
      <c r="BO18" s="234">
        <f t="shared" si="42"/>
        <v>13.317400000000003</v>
      </c>
      <c r="BP18" s="80">
        <f t="shared" si="9"/>
        <v>3.5096549353164308E-4</v>
      </c>
      <c r="BQ18" s="584">
        <f t="shared" si="43"/>
        <v>1.087</v>
      </c>
      <c r="BR18" s="111">
        <f t="shared" si="10"/>
        <v>1.006</v>
      </c>
      <c r="BS18" s="111">
        <f t="shared" si="11"/>
        <v>1.1739999999999999</v>
      </c>
      <c r="BT18" s="111">
        <f t="shared" si="12"/>
        <v>1.0860000000000001</v>
      </c>
      <c r="BU18" s="111">
        <f t="shared" si="13"/>
        <v>1.1399999999999999</v>
      </c>
      <c r="BV18" s="111">
        <f t="shared" si="14"/>
        <v>1.1020000000000001</v>
      </c>
      <c r="BW18" s="111">
        <f t="shared" si="15"/>
        <v>1.2210000000000001</v>
      </c>
      <c r="BX18" s="111">
        <f t="shared" si="16"/>
        <v>0.92300000000000004</v>
      </c>
      <c r="BY18" s="111">
        <f t="shared" si="17"/>
        <v>1.1446000000000001</v>
      </c>
      <c r="BZ18" s="111">
        <f t="shared" si="18"/>
        <v>1.1446000000000001</v>
      </c>
      <c r="CA18" s="111">
        <f t="shared" si="19"/>
        <v>1.1446000000000001</v>
      </c>
      <c r="CB18" s="112">
        <f t="shared" si="20"/>
        <v>1.1446000000000001</v>
      </c>
      <c r="CC18" s="93">
        <f t="shared" si="44"/>
        <v>0</v>
      </c>
      <c r="CD18" s="138">
        <f t="shared" si="45"/>
        <v>0</v>
      </c>
      <c r="CE18" s="139">
        <f t="shared" si="46"/>
        <v>0</v>
      </c>
      <c r="CF18" s="140">
        <f t="shared" si="47"/>
        <v>0</v>
      </c>
      <c r="CJ18" s="491">
        <f t="shared" si="48"/>
        <v>0</v>
      </c>
      <c r="CK18" s="269">
        <f t="shared" si="49"/>
        <v>0</v>
      </c>
      <c r="CL18" s="269">
        <f t="shared" si="50"/>
        <v>0</v>
      </c>
      <c r="CM18" s="269">
        <f t="shared" si="51"/>
        <v>0</v>
      </c>
      <c r="CN18" s="492">
        <f t="shared" si="52"/>
        <v>0</v>
      </c>
    </row>
    <row r="19" spans="2:93" ht="22.5" customHeight="1">
      <c r="B19" s="75" t="s">
        <v>72</v>
      </c>
      <c r="C19" s="644" t="s">
        <v>85</v>
      </c>
      <c r="D19" s="77">
        <v>91.594999999999999</v>
      </c>
      <c r="E19" s="139">
        <f t="shared" si="0"/>
        <v>4.5267872679826933E-3</v>
      </c>
      <c r="F19" s="79">
        <v>49.823999999999998</v>
      </c>
      <c r="G19" s="78">
        <f t="shared" si="1"/>
        <v>1.8200986763516488E-2</v>
      </c>
      <c r="H19" s="79">
        <v>141.41900000000001</v>
      </c>
      <c r="I19" s="140">
        <f t="shared" si="21"/>
        <v>6.1562991003912644E-3</v>
      </c>
      <c r="J19" s="77">
        <v>53.712000000000003</v>
      </c>
      <c r="K19" s="139">
        <f t="shared" si="2"/>
        <v>2.3424440153394497E-3</v>
      </c>
      <c r="L19" s="79">
        <v>29.327000000000002</v>
      </c>
      <c r="M19" s="78">
        <f t="shared" si="3"/>
        <v>1.4913570754409945E-2</v>
      </c>
      <c r="N19" s="79">
        <v>83.039000000000001</v>
      </c>
      <c r="O19" s="140">
        <f t="shared" si="4"/>
        <v>3.3353870471270865E-3</v>
      </c>
      <c r="P19" s="78">
        <f t="shared" si="22"/>
        <v>-0.4135924450024564</v>
      </c>
      <c r="Q19" s="78">
        <f t="shared" si="23"/>
        <v>-0.41138808606294153</v>
      </c>
      <c r="R19" s="78">
        <f t="shared" si="24"/>
        <v>-0.41281581682800761</v>
      </c>
      <c r="S19" s="77">
        <v>131.732</v>
      </c>
      <c r="T19" s="78">
        <f t="shared" si="25"/>
        <v>4.2092858510006364E-3</v>
      </c>
      <c r="U19" s="79">
        <v>72.153000000000006</v>
      </c>
      <c r="V19" s="78">
        <f t="shared" si="25"/>
        <v>1.7847902123849155E-2</v>
      </c>
      <c r="W19" s="79">
        <v>203.88499999999999</v>
      </c>
      <c r="X19" s="80">
        <f t="shared" si="5"/>
        <v>5.7695306188227302E-3</v>
      </c>
      <c r="Y19" s="79">
        <v>11.978</v>
      </c>
      <c r="Z19" s="79">
        <v>10.981</v>
      </c>
      <c r="AA19" s="79">
        <v>12.170999999999999</v>
      </c>
      <c r="AB19" s="79">
        <v>11.946</v>
      </c>
      <c r="AC19" s="79">
        <v>11.906000000000001</v>
      </c>
      <c r="AD19" s="79">
        <v>11.178000000000001</v>
      </c>
      <c r="AE19" s="79">
        <v>11.275</v>
      </c>
      <c r="AF19" s="79">
        <v>10.16</v>
      </c>
      <c r="AG19" s="79">
        <v>10.59</v>
      </c>
      <c r="AH19" s="79">
        <v>11.304</v>
      </c>
      <c r="AI19" s="79">
        <v>10.016</v>
      </c>
      <c r="AJ19" s="110">
        <v>8.2270000000000003</v>
      </c>
      <c r="AK19" s="77">
        <v>8.34</v>
      </c>
      <c r="AL19" s="79">
        <v>7.3579999999999997</v>
      </c>
      <c r="AM19" s="79">
        <v>7.3250000000000002</v>
      </c>
      <c r="AN19" s="79">
        <v>6.8419999999999996</v>
      </c>
      <c r="AO19" s="79">
        <v>6.8470000000000004</v>
      </c>
      <c r="AP19" s="79">
        <v>6.3289999999999997</v>
      </c>
      <c r="AQ19" s="79">
        <v>6.13</v>
      </c>
      <c r="AR19" s="79">
        <v>4.5410000000000004</v>
      </c>
      <c r="AS19" s="111">
        <f t="shared" si="26"/>
        <v>6.6945999999999994</v>
      </c>
      <c r="AT19" s="111">
        <f t="shared" si="6"/>
        <v>6.6945999999999994</v>
      </c>
      <c r="AU19" s="111">
        <f t="shared" si="6"/>
        <v>6.6945999999999994</v>
      </c>
      <c r="AV19" s="112">
        <f t="shared" si="6"/>
        <v>6.6945999999999994</v>
      </c>
      <c r="AW19" s="105">
        <f t="shared" si="27"/>
        <v>0.54600461721775395</v>
      </c>
      <c r="AX19" s="581">
        <f t="shared" si="28"/>
        <v>0.54600461721775395</v>
      </c>
      <c r="AY19" s="77">
        <f t="shared" si="29"/>
        <v>80.490399999999994</v>
      </c>
      <c r="AZ19" s="139">
        <f t="shared" si="30"/>
        <v>2.3272742805510714E-3</v>
      </c>
      <c r="BA19" s="234">
        <f t="shared" si="31"/>
        <v>43.948130041703905</v>
      </c>
      <c r="BB19" s="78">
        <f t="shared" si="32"/>
        <v>1.4915412150026765E-2</v>
      </c>
      <c r="BC19" s="234">
        <f t="shared" si="33"/>
        <v>124.4385300417039</v>
      </c>
      <c r="BD19" s="139">
        <f t="shared" si="34"/>
        <v>3.3155150436011255E-3</v>
      </c>
      <c r="BE19" s="78">
        <f t="shared" si="35"/>
        <v>-0.388983694166945</v>
      </c>
      <c r="BF19" s="78">
        <f t="shared" si="36"/>
        <v>-0.39090363475248568</v>
      </c>
      <c r="BG19" s="78">
        <f t="shared" si="37"/>
        <v>-0.38966314323415696</v>
      </c>
      <c r="BH19" s="590">
        <v>0</v>
      </c>
      <c r="BI19" s="78">
        <f t="shared" si="38"/>
        <v>0.54600461721775406</v>
      </c>
      <c r="BJ19" s="591">
        <f t="shared" si="39"/>
        <v>0.54600461721775406</v>
      </c>
      <c r="BK19" s="234">
        <f t="shared" si="40"/>
        <v>80.490399999999994</v>
      </c>
      <c r="BL19" s="78">
        <f t="shared" si="7"/>
        <v>2.2981026887143163E-3</v>
      </c>
      <c r="BM19" s="234">
        <f t="shared" si="41"/>
        <v>43.948130041703905</v>
      </c>
      <c r="BN19" s="78">
        <f t="shared" si="8"/>
        <v>1.5049068526890129E-2</v>
      </c>
      <c r="BO19" s="234">
        <f t="shared" si="42"/>
        <v>124.4385300417039</v>
      </c>
      <c r="BP19" s="80">
        <f t="shared" si="9"/>
        <v>3.2794411905055637E-3</v>
      </c>
      <c r="BQ19" s="584">
        <f t="shared" si="43"/>
        <v>8.34</v>
      </c>
      <c r="BR19" s="111">
        <f t="shared" si="10"/>
        <v>7.3579999999999997</v>
      </c>
      <c r="BS19" s="111">
        <f t="shared" si="11"/>
        <v>7.3250000000000002</v>
      </c>
      <c r="BT19" s="111">
        <f t="shared" si="12"/>
        <v>6.8419999999999996</v>
      </c>
      <c r="BU19" s="111">
        <f t="shared" si="13"/>
        <v>6.8470000000000004</v>
      </c>
      <c r="BV19" s="111">
        <f t="shared" si="14"/>
        <v>6.3289999999999997</v>
      </c>
      <c r="BW19" s="111">
        <f t="shared" si="15"/>
        <v>6.13</v>
      </c>
      <c r="BX19" s="111">
        <f t="shared" si="16"/>
        <v>4.5410000000000004</v>
      </c>
      <c r="BY19" s="111">
        <f t="shared" si="17"/>
        <v>6.6945999999999994</v>
      </c>
      <c r="BZ19" s="111">
        <f t="shared" si="18"/>
        <v>6.6945999999999994</v>
      </c>
      <c r="CA19" s="111">
        <f t="shared" si="19"/>
        <v>6.6945999999999994</v>
      </c>
      <c r="CB19" s="112">
        <f t="shared" si="20"/>
        <v>6.6945999999999994</v>
      </c>
      <c r="CC19" s="93">
        <f t="shared" si="44"/>
        <v>0</v>
      </c>
      <c r="CD19" s="138">
        <f t="shared" si="45"/>
        <v>0</v>
      </c>
      <c r="CE19" s="139">
        <f t="shared" si="46"/>
        <v>0</v>
      </c>
      <c r="CF19" s="140">
        <f t="shared" si="47"/>
        <v>0</v>
      </c>
      <c r="CJ19" s="491">
        <f t="shared" si="48"/>
        <v>0</v>
      </c>
      <c r="CK19" s="269">
        <f t="shared" si="49"/>
        <v>0</v>
      </c>
      <c r="CL19" s="269">
        <f t="shared" si="50"/>
        <v>0</v>
      </c>
      <c r="CM19" s="269">
        <f t="shared" si="51"/>
        <v>0</v>
      </c>
      <c r="CN19" s="492">
        <f t="shared" si="52"/>
        <v>0</v>
      </c>
    </row>
    <row r="20" spans="2:93" ht="22.5" customHeight="1">
      <c r="B20" s="75" t="s">
        <v>73</v>
      </c>
      <c r="C20" s="644" t="s">
        <v>98</v>
      </c>
      <c r="D20" s="77">
        <v>0</v>
      </c>
      <c r="E20" s="139">
        <f t="shared" si="0"/>
        <v>0</v>
      </c>
      <c r="F20" s="79">
        <v>0</v>
      </c>
      <c r="G20" s="78">
        <f t="shared" si="1"/>
        <v>0</v>
      </c>
      <c r="H20" s="79">
        <v>0</v>
      </c>
      <c r="I20" s="140">
        <f t="shared" si="21"/>
        <v>0</v>
      </c>
      <c r="J20" s="77">
        <v>0.32900000000000001</v>
      </c>
      <c r="K20" s="139">
        <f t="shared" si="2"/>
        <v>1.4348080150556281E-5</v>
      </c>
      <c r="L20" s="79">
        <v>0</v>
      </c>
      <c r="M20" s="78">
        <f t="shared" si="3"/>
        <v>0</v>
      </c>
      <c r="N20" s="79">
        <v>0.32900000000000001</v>
      </c>
      <c r="O20" s="140">
        <f t="shared" si="4"/>
        <v>1.3214782674463945E-5</v>
      </c>
      <c r="P20" s="78">
        <f t="shared" si="22"/>
        <v>0</v>
      </c>
      <c r="Q20" s="78">
        <f t="shared" si="23"/>
        <v>0</v>
      </c>
      <c r="R20" s="78">
        <f t="shared" si="24"/>
        <v>0</v>
      </c>
      <c r="S20" s="77">
        <v>0</v>
      </c>
      <c r="T20" s="78">
        <f t="shared" si="25"/>
        <v>0</v>
      </c>
      <c r="U20" s="79">
        <v>0</v>
      </c>
      <c r="V20" s="78">
        <f t="shared" si="25"/>
        <v>0</v>
      </c>
      <c r="W20" s="79">
        <v>0</v>
      </c>
      <c r="X20" s="80">
        <f t="shared" si="5"/>
        <v>0</v>
      </c>
      <c r="Y20" s="79">
        <v>0</v>
      </c>
      <c r="Z20" s="79">
        <v>0</v>
      </c>
      <c r="AA20" s="79">
        <v>0</v>
      </c>
      <c r="AB20" s="79">
        <v>0</v>
      </c>
      <c r="AC20" s="79">
        <v>0</v>
      </c>
      <c r="AD20" s="79">
        <v>0</v>
      </c>
      <c r="AE20" s="79">
        <v>0</v>
      </c>
      <c r="AF20" s="79">
        <v>0</v>
      </c>
      <c r="AG20" s="79">
        <v>0</v>
      </c>
      <c r="AH20" s="79">
        <v>0</v>
      </c>
      <c r="AI20" s="79">
        <v>0</v>
      </c>
      <c r="AJ20" s="110">
        <v>0</v>
      </c>
      <c r="AK20" s="77">
        <v>8.3000000000000004E-2</v>
      </c>
      <c r="AL20" s="234">
        <v>6.5000000000000002E-2</v>
      </c>
      <c r="AM20" s="234">
        <v>7.3999999999999996E-2</v>
      </c>
      <c r="AN20" s="234">
        <v>8.9999999999999993E-3</v>
      </c>
      <c r="AO20" s="234">
        <v>4.8000000000000001E-2</v>
      </c>
      <c r="AP20" s="234">
        <v>2.4E-2</v>
      </c>
      <c r="AQ20" s="234">
        <v>1.9E-2</v>
      </c>
      <c r="AR20" s="234">
        <v>7.0000000000000001E-3</v>
      </c>
      <c r="AS20" s="111">
        <f t="shared" si="26"/>
        <v>3.4799999999999998E-2</v>
      </c>
      <c r="AT20" s="111">
        <f t="shared" si="6"/>
        <v>3.4799999999999998E-2</v>
      </c>
      <c r="AU20" s="111">
        <f t="shared" si="6"/>
        <v>3.4799999999999998E-2</v>
      </c>
      <c r="AV20" s="112">
        <f t="shared" si="6"/>
        <v>3.4799999999999998E-2</v>
      </c>
      <c r="AW20" s="105">
        <f t="shared" si="27"/>
        <v>0</v>
      </c>
      <c r="AX20" s="581">
        <f t="shared" si="28"/>
        <v>0</v>
      </c>
      <c r="AY20" s="77">
        <f t="shared" si="29"/>
        <v>0.46820000000000006</v>
      </c>
      <c r="AZ20" s="139">
        <f t="shared" si="30"/>
        <v>1.3537388535204346E-5</v>
      </c>
      <c r="BA20" s="234">
        <f t="shared" si="31"/>
        <v>0</v>
      </c>
      <c r="BB20" s="78">
        <f t="shared" si="32"/>
        <v>0</v>
      </c>
      <c r="BC20" s="234">
        <f t="shared" si="33"/>
        <v>0.46820000000000006</v>
      </c>
      <c r="BD20" s="139">
        <f t="shared" si="34"/>
        <v>1.2474626169995793E-5</v>
      </c>
      <c r="BE20" s="78">
        <f t="shared" si="35"/>
        <v>0</v>
      </c>
      <c r="BF20" s="78">
        <f t="shared" si="36"/>
        <v>0</v>
      </c>
      <c r="BG20" s="78">
        <f t="shared" si="37"/>
        <v>0</v>
      </c>
      <c r="BH20" s="590">
        <v>0</v>
      </c>
      <c r="BI20" s="78">
        <f t="shared" si="38"/>
        <v>0</v>
      </c>
      <c r="BJ20" s="591">
        <f t="shared" si="39"/>
        <v>0</v>
      </c>
      <c r="BK20" s="234">
        <f t="shared" si="40"/>
        <v>0.46820000000000006</v>
      </c>
      <c r="BL20" s="78">
        <f t="shared" si="7"/>
        <v>1.3367701972608448E-5</v>
      </c>
      <c r="BM20" s="234">
        <f t="shared" si="41"/>
        <v>0</v>
      </c>
      <c r="BN20" s="78">
        <f t="shared" si="8"/>
        <v>0</v>
      </c>
      <c r="BO20" s="234">
        <f t="shared" si="42"/>
        <v>0.46820000000000006</v>
      </c>
      <c r="BP20" s="80">
        <f t="shared" si="9"/>
        <v>1.2338898288818785E-5</v>
      </c>
      <c r="BQ20" s="584">
        <f t="shared" si="43"/>
        <v>8.3000000000000004E-2</v>
      </c>
      <c r="BR20" s="111">
        <f t="shared" si="10"/>
        <v>6.5000000000000002E-2</v>
      </c>
      <c r="BS20" s="111">
        <f t="shared" si="11"/>
        <v>7.3999999999999996E-2</v>
      </c>
      <c r="BT20" s="111">
        <f t="shared" si="12"/>
        <v>8.9999999999999993E-3</v>
      </c>
      <c r="BU20" s="111">
        <f t="shared" si="13"/>
        <v>4.8000000000000001E-2</v>
      </c>
      <c r="BV20" s="111">
        <f t="shared" si="14"/>
        <v>2.4E-2</v>
      </c>
      <c r="BW20" s="111">
        <f t="shared" si="15"/>
        <v>1.9E-2</v>
      </c>
      <c r="BX20" s="111">
        <f t="shared" si="16"/>
        <v>7.0000000000000001E-3</v>
      </c>
      <c r="BY20" s="111">
        <f t="shared" si="17"/>
        <v>3.4799999999999998E-2</v>
      </c>
      <c r="BZ20" s="111">
        <f t="shared" si="18"/>
        <v>3.4799999999999998E-2</v>
      </c>
      <c r="CA20" s="111">
        <f t="shared" si="19"/>
        <v>3.4799999999999998E-2</v>
      </c>
      <c r="CB20" s="112">
        <f t="shared" si="20"/>
        <v>3.4799999999999998E-2</v>
      </c>
      <c r="CC20" s="93">
        <f t="shared" si="44"/>
        <v>0</v>
      </c>
      <c r="CD20" s="138">
        <f t="shared" si="45"/>
        <v>0</v>
      </c>
      <c r="CE20" s="139">
        <f t="shared" si="46"/>
        <v>0</v>
      </c>
      <c r="CF20" s="140">
        <f t="shared" si="47"/>
        <v>0</v>
      </c>
      <c r="CJ20" s="491">
        <f t="shared" si="48"/>
        <v>0</v>
      </c>
      <c r="CK20" s="269">
        <f t="shared" si="49"/>
        <v>0</v>
      </c>
      <c r="CL20" s="269">
        <f t="shared" si="50"/>
        <v>0</v>
      </c>
      <c r="CM20" s="269">
        <f t="shared" si="51"/>
        <v>0</v>
      </c>
      <c r="CN20" s="492">
        <f t="shared" si="52"/>
        <v>0</v>
      </c>
    </row>
    <row r="21" spans="2:93" ht="22.5" customHeight="1">
      <c r="B21" s="75" t="s">
        <v>74</v>
      </c>
      <c r="C21" s="644" t="s">
        <v>99</v>
      </c>
      <c r="D21" s="77">
        <v>0</v>
      </c>
      <c r="E21" s="139">
        <f t="shared" si="0"/>
        <v>0</v>
      </c>
      <c r="F21" s="79">
        <v>0</v>
      </c>
      <c r="G21" s="78">
        <f t="shared" si="1"/>
        <v>0</v>
      </c>
      <c r="H21" s="79">
        <v>0</v>
      </c>
      <c r="I21" s="140">
        <f t="shared" si="21"/>
        <v>0</v>
      </c>
      <c r="J21" s="77">
        <v>0.874</v>
      </c>
      <c r="K21" s="139">
        <f t="shared" si="2"/>
        <v>3.8116176448590242E-5</v>
      </c>
      <c r="L21" s="79">
        <v>0</v>
      </c>
      <c r="M21" s="78">
        <f t="shared" si="3"/>
        <v>0</v>
      </c>
      <c r="N21" s="79">
        <v>0.874</v>
      </c>
      <c r="O21" s="140">
        <f t="shared" si="4"/>
        <v>3.5105532089609383E-5</v>
      </c>
      <c r="P21" s="78">
        <f t="shared" si="22"/>
        <v>0</v>
      </c>
      <c r="Q21" s="78">
        <f t="shared" si="23"/>
        <v>0</v>
      </c>
      <c r="R21" s="78">
        <f t="shared" si="24"/>
        <v>0</v>
      </c>
      <c r="S21" s="77">
        <v>0</v>
      </c>
      <c r="T21" s="78">
        <f t="shared" si="25"/>
        <v>0</v>
      </c>
      <c r="U21" s="79">
        <v>0</v>
      </c>
      <c r="V21" s="78">
        <f t="shared" si="25"/>
        <v>0</v>
      </c>
      <c r="W21" s="79">
        <v>0</v>
      </c>
      <c r="X21" s="80">
        <f t="shared" si="5"/>
        <v>0</v>
      </c>
      <c r="Y21" s="79">
        <v>0</v>
      </c>
      <c r="Z21" s="79">
        <v>0</v>
      </c>
      <c r="AA21" s="79">
        <v>0</v>
      </c>
      <c r="AB21" s="79">
        <v>0</v>
      </c>
      <c r="AC21" s="79">
        <v>0</v>
      </c>
      <c r="AD21" s="79">
        <v>0</v>
      </c>
      <c r="AE21" s="79">
        <v>0</v>
      </c>
      <c r="AF21" s="79">
        <v>0</v>
      </c>
      <c r="AG21" s="79">
        <v>0</v>
      </c>
      <c r="AH21" s="79">
        <v>0</v>
      </c>
      <c r="AI21" s="79">
        <v>0</v>
      </c>
      <c r="AJ21" s="110">
        <v>0</v>
      </c>
      <c r="AK21" s="77">
        <v>8.2000000000000003E-2</v>
      </c>
      <c r="AL21" s="234">
        <v>0.15</v>
      </c>
      <c r="AM21" s="234">
        <v>0.27</v>
      </c>
      <c r="AN21" s="234">
        <v>4.2000000000000003E-2</v>
      </c>
      <c r="AO21" s="234">
        <v>9.8000000000000004E-2</v>
      </c>
      <c r="AP21" s="234">
        <v>3.7999999999999999E-2</v>
      </c>
      <c r="AQ21" s="234">
        <v>0.17799999999999999</v>
      </c>
      <c r="AR21" s="234">
        <v>1.6E-2</v>
      </c>
      <c r="AS21" s="111">
        <f t="shared" si="26"/>
        <v>0.12520000000000001</v>
      </c>
      <c r="AT21" s="111">
        <f t="shared" si="6"/>
        <v>0.12520000000000001</v>
      </c>
      <c r="AU21" s="111">
        <f t="shared" si="6"/>
        <v>0.12520000000000001</v>
      </c>
      <c r="AV21" s="112">
        <f t="shared" si="6"/>
        <v>0.12520000000000001</v>
      </c>
      <c r="AW21" s="105">
        <f t="shared" si="27"/>
        <v>0</v>
      </c>
      <c r="AX21" s="581">
        <f t="shared" si="28"/>
        <v>0</v>
      </c>
      <c r="AY21" s="77">
        <f t="shared" si="29"/>
        <v>1.3748</v>
      </c>
      <c r="AZ21" s="139">
        <f t="shared" si="30"/>
        <v>3.9750537715076747E-5</v>
      </c>
      <c r="BA21" s="234">
        <f t="shared" si="31"/>
        <v>0</v>
      </c>
      <c r="BB21" s="78">
        <f t="shared" si="32"/>
        <v>0</v>
      </c>
      <c r="BC21" s="234">
        <f t="shared" si="33"/>
        <v>1.3748</v>
      </c>
      <c r="BD21" s="139">
        <f t="shared" si="34"/>
        <v>3.6629893332999172E-5</v>
      </c>
      <c r="BE21" s="78">
        <f t="shared" si="35"/>
        <v>0</v>
      </c>
      <c r="BF21" s="78">
        <f t="shared" si="36"/>
        <v>0</v>
      </c>
      <c r="BG21" s="78">
        <f t="shared" si="37"/>
        <v>0</v>
      </c>
      <c r="BH21" s="590">
        <v>0</v>
      </c>
      <c r="BI21" s="78">
        <f t="shared" si="38"/>
        <v>0</v>
      </c>
      <c r="BJ21" s="591">
        <f t="shared" si="39"/>
        <v>0</v>
      </c>
      <c r="BK21" s="234">
        <f t="shared" si="40"/>
        <v>1.3748</v>
      </c>
      <c r="BL21" s="78">
        <f t="shared" si="7"/>
        <v>3.9252278239944664E-5</v>
      </c>
      <c r="BM21" s="234">
        <f t="shared" si="41"/>
        <v>0</v>
      </c>
      <c r="BN21" s="78">
        <f t="shared" si="8"/>
        <v>0</v>
      </c>
      <c r="BO21" s="234">
        <f t="shared" si="42"/>
        <v>1.3748</v>
      </c>
      <c r="BP21" s="80">
        <f t="shared" si="9"/>
        <v>3.6231348499504617E-5</v>
      </c>
      <c r="BQ21" s="584">
        <f t="shared" si="43"/>
        <v>8.2000000000000003E-2</v>
      </c>
      <c r="BR21" s="111">
        <f t="shared" si="10"/>
        <v>0.15</v>
      </c>
      <c r="BS21" s="111">
        <f t="shared" si="11"/>
        <v>0.27</v>
      </c>
      <c r="BT21" s="111">
        <f t="shared" si="12"/>
        <v>4.2000000000000003E-2</v>
      </c>
      <c r="BU21" s="111">
        <f t="shared" si="13"/>
        <v>9.8000000000000004E-2</v>
      </c>
      <c r="BV21" s="111">
        <f t="shared" si="14"/>
        <v>3.7999999999999999E-2</v>
      </c>
      <c r="BW21" s="111">
        <f t="shared" si="15"/>
        <v>0.17799999999999999</v>
      </c>
      <c r="BX21" s="111">
        <f t="shared" si="16"/>
        <v>1.6E-2</v>
      </c>
      <c r="BY21" s="111">
        <f t="shared" si="17"/>
        <v>0.12520000000000001</v>
      </c>
      <c r="BZ21" s="111">
        <f t="shared" si="18"/>
        <v>0.12520000000000001</v>
      </c>
      <c r="CA21" s="111">
        <f t="shared" si="19"/>
        <v>0.12520000000000001</v>
      </c>
      <c r="CB21" s="112">
        <f t="shared" si="20"/>
        <v>0.12520000000000001</v>
      </c>
      <c r="CC21" s="93">
        <f t="shared" si="44"/>
        <v>0</v>
      </c>
      <c r="CD21" s="138">
        <f t="shared" si="45"/>
        <v>0</v>
      </c>
      <c r="CE21" s="139">
        <f t="shared" si="46"/>
        <v>0</v>
      </c>
      <c r="CF21" s="140">
        <f t="shared" si="47"/>
        <v>0</v>
      </c>
      <c r="CJ21" s="491">
        <f t="shared" si="48"/>
        <v>0</v>
      </c>
      <c r="CK21" s="269">
        <f t="shared" si="49"/>
        <v>0</v>
      </c>
      <c r="CL21" s="269">
        <f t="shared" si="50"/>
        <v>0</v>
      </c>
      <c r="CM21" s="269">
        <f t="shared" si="51"/>
        <v>0</v>
      </c>
      <c r="CN21" s="492">
        <f t="shared" si="52"/>
        <v>0</v>
      </c>
    </row>
    <row r="22" spans="2:93" ht="22.5" customHeight="1">
      <c r="B22" s="75" t="s">
        <v>75</v>
      </c>
      <c r="C22" s="645" t="s">
        <v>103</v>
      </c>
      <c r="D22" s="77">
        <v>0</v>
      </c>
      <c r="E22" s="139">
        <f t="shared" si="0"/>
        <v>0</v>
      </c>
      <c r="F22" s="79">
        <v>0</v>
      </c>
      <c r="G22" s="78">
        <f t="shared" si="1"/>
        <v>0</v>
      </c>
      <c r="H22" s="79">
        <v>0</v>
      </c>
      <c r="I22" s="140">
        <f t="shared" si="21"/>
        <v>0</v>
      </c>
      <c r="J22" s="77">
        <v>10.654999999999999</v>
      </c>
      <c r="K22" s="139">
        <f t="shared" si="2"/>
        <v>4.6467718542303086E-4</v>
      </c>
      <c r="L22" s="79">
        <v>0</v>
      </c>
      <c r="M22" s="78">
        <f t="shared" si="3"/>
        <v>0</v>
      </c>
      <c r="N22" s="79">
        <v>10.654999999999999</v>
      </c>
      <c r="O22" s="140">
        <f t="shared" si="4"/>
        <v>4.279741926942654E-4</v>
      </c>
      <c r="P22" s="78">
        <f t="shared" si="22"/>
        <v>0</v>
      </c>
      <c r="Q22" s="78">
        <f t="shared" si="23"/>
        <v>0</v>
      </c>
      <c r="R22" s="78">
        <f t="shared" si="24"/>
        <v>0</v>
      </c>
      <c r="S22" s="77">
        <v>0</v>
      </c>
      <c r="T22" s="78">
        <f t="shared" si="25"/>
        <v>0</v>
      </c>
      <c r="U22" s="79">
        <v>0</v>
      </c>
      <c r="V22" s="78">
        <f t="shared" si="25"/>
        <v>0</v>
      </c>
      <c r="W22" s="79">
        <v>0</v>
      </c>
      <c r="X22" s="80">
        <f t="shared" si="5"/>
        <v>0</v>
      </c>
      <c r="Y22" s="79">
        <v>0</v>
      </c>
      <c r="Z22" s="79">
        <v>0</v>
      </c>
      <c r="AA22" s="79">
        <v>0</v>
      </c>
      <c r="AB22" s="79">
        <v>0</v>
      </c>
      <c r="AC22" s="79">
        <v>0</v>
      </c>
      <c r="AD22" s="79">
        <v>0</v>
      </c>
      <c r="AE22" s="79">
        <v>0</v>
      </c>
      <c r="AF22" s="79">
        <v>0</v>
      </c>
      <c r="AG22" s="79">
        <v>0</v>
      </c>
      <c r="AH22" s="79">
        <v>0</v>
      </c>
      <c r="AI22" s="79">
        <v>0</v>
      </c>
      <c r="AJ22" s="110">
        <v>0</v>
      </c>
      <c r="AK22" s="77">
        <v>0</v>
      </c>
      <c r="AL22" s="79">
        <v>0</v>
      </c>
      <c r="AM22" s="79">
        <v>0</v>
      </c>
      <c r="AN22" s="79">
        <v>0</v>
      </c>
      <c r="AO22" s="79">
        <v>0.29499999999999998</v>
      </c>
      <c r="AP22" s="79">
        <v>2.0169999999999999</v>
      </c>
      <c r="AQ22" s="79">
        <v>3.5379999999999998</v>
      </c>
      <c r="AR22" s="79">
        <v>4.8049999999999997</v>
      </c>
      <c r="AS22" s="111">
        <v>2</v>
      </c>
      <c r="AT22" s="111">
        <v>2</v>
      </c>
      <c r="AU22" s="111">
        <v>2</v>
      </c>
      <c r="AV22" s="112">
        <v>2</v>
      </c>
      <c r="AW22" s="105">
        <f t="shared" si="27"/>
        <v>0</v>
      </c>
      <c r="AX22" s="581">
        <f t="shared" si="28"/>
        <v>0</v>
      </c>
      <c r="AY22" s="77">
        <f t="shared" si="29"/>
        <v>18.655000000000001</v>
      </c>
      <c r="AZ22" s="139">
        <f t="shared" si="30"/>
        <v>5.3938484221323596E-4</v>
      </c>
      <c r="BA22" s="234">
        <f t="shared" si="31"/>
        <v>0</v>
      </c>
      <c r="BB22" s="78">
        <f t="shared" si="32"/>
        <v>0</v>
      </c>
      <c r="BC22" s="234">
        <f t="shared" si="33"/>
        <v>18.655000000000001</v>
      </c>
      <c r="BD22" s="139">
        <f t="shared" si="34"/>
        <v>4.9704004955418944E-4</v>
      </c>
      <c r="BE22" s="78">
        <f t="shared" si="35"/>
        <v>0</v>
      </c>
      <c r="BF22" s="78">
        <f t="shared" si="36"/>
        <v>0</v>
      </c>
      <c r="BG22" s="78">
        <f t="shared" si="37"/>
        <v>0</v>
      </c>
      <c r="BH22" s="588">
        <f>$BH$1</f>
        <v>2.5000000000000001E-2</v>
      </c>
      <c r="BI22" s="78">
        <f t="shared" si="38"/>
        <v>0</v>
      </c>
      <c r="BJ22" s="591">
        <f t="shared" si="39"/>
        <v>0</v>
      </c>
      <c r="BK22" s="234">
        <f t="shared" si="40"/>
        <v>19.121375</v>
      </c>
      <c r="BL22" s="78">
        <f t="shared" si="7"/>
        <v>5.4593943252132817E-4</v>
      </c>
      <c r="BM22" s="234">
        <f t="shared" si="41"/>
        <v>0</v>
      </c>
      <c r="BN22" s="78">
        <f t="shared" si="8"/>
        <v>0</v>
      </c>
      <c r="BO22" s="234">
        <f t="shared" si="42"/>
        <v>19.121375</v>
      </c>
      <c r="BP22" s="80">
        <f t="shared" si="9"/>
        <v>5.0392289890508813E-4</v>
      </c>
      <c r="BQ22" s="587">
        <f>$BK22/12</f>
        <v>1.5934479166666666</v>
      </c>
      <c r="BR22" s="493">
        <f t="shared" ref="BR22:CB22" si="53">$BK22/12</f>
        <v>1.5934479166666666</v>
      </c>
      <c r="BS22" s="493">
        <f t="shared" si="53"/>
        <v>1.5934479166666666</v>
      </c>
      <c r="BT22" s="493">
        <f t="shared" si="53"/>
        <v>1.5934479166666666</v>
      </c>
      <c r="BU22" s="493">
        <f t="shared" si="53"/>
        <v>1.5934479166666666</v>
      </c>
      <c r="BV22" s="493">
        <f t="shared" si="53"/>
        <v>1.5934479166666666</v>
      </c>
      <c r="BW22" s="493">
        <f t="shared" si="53"/>
        <v>1.5934479166666666</v>
      </c>
      <c r="BX22" s="493">
        <f t="shared" si="53"/>
        <v>1.5934479166666666</v>
      </c>
      <c r="BY22" s="493">
        <f t="shared" si="53"/>
        <v>1.5934479166666666</v>
      </c>
      <c r="BZ22" s="493">
        <f t="shared" si="53"/>
        <v>1.5934479166666666</v>
      </c>
      <c r="CA22" s="493">
        <f t="shared" si="53"/>
        <v>1.5934479166666666</v>
      </c>
      <c r="CB22" s="494">
        <f t="shared" si="53"/>
        <v>1.5934479166666666</v>
      </c>
      <c r="CC22" s="93">
        <f t="shared" si="44"/>
        <v>0</v>
      </c>
      <c r="CD22" s="138">
        <f t="shared" si="45"/>
        <v>2.4999999999999911E-2</v>
      </c>
      <c r="CE22" s="139">
        <f t="shared" si="46"/>
        <v>0</v>
      </c>
      <c r="CF22" s="140">
        <f t="shared" si="47"/>
        <v>2.4999999999999911E-2</v>
      </c>
      <c r="CJ22" s="491">
        <f t="shared" si="48"/>
        <v>4.7803437500000001</v>
      </c>
      <c r="CK22" s="269">
        <f t="shared" si="49"/>
        <v>2.4683437500000003</v>
      </c>
      <c r="CL22" s="269">
        <f t="shared" si="50"/>
        <v>-5.5626562499999999</v>
      </c>
      <c r="CM22" s="269">
        <f t="shared" si="51"/>
        <v>-1.2196562499999999</v>
      </c>
      <c r="CN22" s="492">
        <f t="shared" si="52"/>
        <v>1.7763568394002505E-15</v>
      </c>
    </row>
    <row r="23" spans="2:93" s="217" customFormat="1" ht="22.5" customHeight="1">
      <c r="B23" s="266" t="s">
        <v>76</v>
      </c>
      <c r="C23" s="645" t="s">
        <v>102</v>
      </c>
      <c r="D23" s="267">
        <v>0</v>
      </c>
      <c r="E23" s="277">
        <f t="shared" si="0"/>
        <v>0</v>
      </c>
      <c r="F23" s="269">
        <v>0</v>
      </c>
      <c r="G23" s="268">
        <f t="shared" si="1"/>
        <v>0</v>
      </c>
      <c r="H23" s="269">
        <v>0</v>
      </c>
      <c r="I23" s="278">
        <f t="shared" si="21"/>
        <v>0</v>
      </c>
      <c r="J23" s="267">
        <v>3411.0819999999999</v>
      </c>
      <c r="K23" s="277">
        <f t="shared" si="2"/>
        <v>0.14876133111282619</v>
      </c>
      <c r="L23" s="269">
        <v>0</v>
      </c>
      <c r="M23" s="268">
        <f t="shared" si="3"/>
        <v>0</v>
      </c>
      <c r="N23" s="269">
        <v>3411.0819999999999</v>
      </c>
      <c r="O23" s="278">
        <f t="shared" si="4"/>
        <v>0.13701126843396905</v>
      </c>
      <c r="P23" s="268">
        <f t="shared" si="22"/>
        <v>0</v>
      </c>
      <c r="Q23" s="268">
        <f t="shared" si="23"/>
        <v>0</v>
      </c>
      <c r="R23" s="268">
        <f t="shared" si="24"/>
        <v>0</v>
      </c>
      <c r="S23" s="267">
        <v>1088.3579999999999</v>
      </c>
      <c r="T23" s="268">
        <f t="shared" si="25"/>
        <v>3.4776743162051364E-2</v>
      </c>
      <c r="U23" s="269">
        <v>0</v>
      </c>
      <c r="V23" s="268">
        <f t="shared" si="25"/>
        <v>0</v>
      </c>
      <c r="W23" s="269">
        <v>1088.3579999999999</v>
      </c>
      <c r="X23" s="270">
        <f t="shared" si="5"/>
        <v>3.07983167238427E-2</v>
      </c>
      <c r="Y23" s="269">
        <v>0</v>
      </c>
      <c r="Z23" s="269">
        <v>0</v>
      </c>
      <c r="AA23" s="269">
        <v>0</v>
      </c>
      <c r="AB23" s="269">
        <v>0</v>
      </c>
      <c r="AC23" s="269">
        <v>0</v>
      </c>
      <c r="AD23" s="269">
        <v>0</v>
      </c>
      <c r="AE23" s="269">
        <v>0</v>
      </c>
      <c r="AF23" s="269">
        <v>0</v>
      </c>
      <c r="AG23" s="269">
        <v>77.981999999999999</v>
      </c>
      <c r="AH23" s="269">
        <v>293.90800000000002</v>
      </c>
      <c r="AI23" s="269">
        <v>379.452</v>
      </c>
      <c r="AJ23" s="271">
        <v>337.01600000000002</v>
      </c>
      <c r="AK23" s="267">
        <v>362.44</v>
      </c>
      <c r="AL23" s="269">
        <v>438.57400000000001</v>
      </c>
      <c r="AM23" s="269">
        <v>468.69900000000001</v>
      </c>
      <c r="AN23" s="269">
        <v>460.33800000000002</v>
      </c>
      <c r="AO23" s="269">
        <v>494.65300000000002</v>
      </c>
      <c r="AP23" s="269">
        <v>414.90699999999998</v>
      </c>
      <c r="AQ23" s="269">
        <v>403.46899999999999</v>
      </c>
      <c r="AR23" s="269">
        <v>368.00200000000001</v>
      </c>
      <c r="AS23" s="272">
        <f>AVERAGE($AL23:$AO23)</f>
        <v>465.56600000000003</v>
      </c>
      <c r="AT23" s="272">
        <f>AVERAGE($AL23:$AO23)</f>
        <v>465.56600000000003</v>
      </c>
      <c r="AU23" s="272">
        <f>AVERAGE($AL23:$AO23)</f>
        <v>465.56600000000003</v>
      </c>
      <c r="AV23" s="273">
        <f>AVERAGE($AL23:$AO23)</f>
        <v>465.56600000000003</v>
      </c>
      <c r="AW23" s="274">
        <f t="shared" si="27"/>
        <v>0</v>
      </c>
      <c r="AX23" s="582">
        <f t="shared" si="28"/>
        <v>0</v>
      </c>
      <c r="AY23" s="267">
        <f t="shared" si="29"/>
        <v>5273.3459999999995</v>
      </c>
      <c r="AZ23" s="277">
        <f t="shared" si="30"/>
        <v>0.15247187886066998</v>
      </c>
      <c r="BA23" s="269">
        <f t="shared" si="31"/>
        <v>0</v>
      </c>
      <c r="BB23" s="268">
        <f t="shared" si="32"/>
        <v>0</v>
      </c>
      <c r="BC23" s="269">
        <f t="shared" si="33"/>
        <v>5273.3459999999995</v>
      </c>
      <c r="BD23" s="277">
        <f t="shared" si="34"/>
        <v>0.14050196500436271</v>
      </c>
      <c r="BE23" s="268">
        <f t="shared" si="35"/>
        <v>3.8452310728638919</v>
      </c>
      <c r="BF23" s="268">
        <f t="shared" si="36"/>
        <v>0</v>
      </c>
      <c r="BG23" s="268">
        <f t="shared" si="37"/>
        <v>3.8452310728638919</v>
      </c>
      <c r="BH23" s="594">
        <v>0.05</v>
      </c>
      <c r="BI23" s="268">
        <f t="shared" si="38"/>
        <v>0</v>
      </c>
      <c r="BJ23" s="589">
        <f t="shared" si="39"/>
        <v>0</v>
      </c>
      <c r="BK23" s="269">
        <f t="shared" si="40"/>
        <v>5537.0132999999996</v>
      </c>
      <c r="BL23" s="268">
        <f t="shared" si="7"/>
        <v>0.15808873048434258</v>
      </c>
      <c r="BM23" s="269">
        <f t="shared" si="41"/>
        <v>0</v>
      </c>
      <c r="BN23" s="268">
        <f t="shared" si="8"/>
        <v>0</v>
      </c>
      <c r="BO23" s="269">
        <f t="shared" si="42"/>
        <v>5537.0132999999996</v>
      </c>
      <c r="BP23" s="270">
        <f t="shared" si="9"/>
        <v>0.14592192211135591</v>
      </c>
      <c r="BQ23" s="585">
        <f t="shared" si="43"/>
        <v>380.56200000000001</v>
      </c>
      <c r="BR23" s="272">
        <f t="shared" si="10"/>
        <v>460.5027</v>
      </c>
      <c r="BS23" s="272">
        <f t="shared" si="11"/>
        <v>492.13395000000003</v>
      </c>
      <c r="BT23" s="272">
        <f t="shared" si="12"/>
        <v>483.35490000000004</v>
      </c>
      <c r="BU23" s="272">
        <f t="shared" si="13"/>
        <v>519.38565000000006</v>
      </c>
      <c r="BV23" s="272">
        <f t="shared" si="14"/>
        <v>435.65235000000001</v>
      </c>
      <c r="BW23" s="272">
        <f t="shared" si="15"/>
        <v>423.64245</v>
      </c>
      <c r="BX23" s="272">
        <f t="shared" si="16"/>
        <v>386.40210000000002</v>
      </c>
      <c r="BY23" s="272">
        <f t="shared" si="17"/>
        <v>488.84430000000003</v>
      </c>
      <c r="BZ23" s="272">
        <f t="shared" si="18"/>
        <v>488.84430000000003</v>
      </c>
      <c r="CA23" s="272">
        <f t="shared" si="19"/>
        <v>488.84430000000003</v>
      </c>
      <c r="CB23" s="273">
        <f t="shared" si="20"/>
        <v>488.84430000000003</v>
      </c>
      <c r="CC23" s="275">
        <f t="shared" si="44"/>
        <v>0</v>
      </c>
      <c r="CD23" s="276">
        <f t="shared" si="45"/>
        <v>5.0000000000000044E-2</v>
      </c>
      <c r="CE23" s="277">
        <f t="shared" si="46"/>
        <v>0</v>
      </c>
      <c r="CF23" s="278">
        <f t="shared" si="47"/>
        <v>5.0000000000000044E-2</v>
      </c>
      <c r="CJ23" s="491">
        <f t="shared" si="48"/>
        <v>63.485650000000078</v>
      </c>
      <c r="CK23" s="269">
        <f t="shared" si="49"/>
        <v>68.494900000000143</v>
      </c>
      <c r="CL23" s="269">
        <f t="shared" si="50"/>
        <v>61.851850000000013</v>
      </c>
      <c r="CM23" s="269">
        <f t="shared" si="51"/>
        <v>69.834900000000061</v>
      </c>
      <c r="CN23" s="492">
        <f t="shared" si="52"/>
        <v>0</v>
      </c>
      <c r="CO23" s="220"/>
    </row>
    <row r="24" spans="2:93" s="217" customFormat="1" ht="22.5" customHeight="1">
      <c r="B24" s="266" t="s">
        <v>77</v>
      </c>
      <c r="C24" s="645" t="s">
        <v>77</v>
      </c>
      <c r="D24" s="267">
        <v>0</v>
      </c>
      <c r="E24" s="277">
        <f t="shared" si="0"/>
        <v>0</v>
      </c>
      <c r="F24" s="269">
        <v>0</v>
      </c>
      <c r="G24" s="268">
        <f t="shared" si="1"/>
        <v>0</v>
      </c>
      <c r="H24" s="269">
        <v>0</v>
      </c>
      <c r="I24" s="278">
        <f t="shared" si="21"/>
        <v>0</v>
      </c>
      <c r="J24" s="267">
        <v>3437.74</v>
      </c>
      <c r="K24" s="277">
        <f t="shared" si="2"/>
        <v>0.14992391810569405</v>
      </c>
      <c r="L24" s="269">
        <v>0</v>
      </c>
      <c r="M24" s="268">
        <f t="shared" si="3"/>
        <v>0</v>
      </c>
      <c r="N24" s="269">
        <v>3437.74</v>
      </c>
      <c r="O24" s="278">
        <f t="shared" si="4"/>
        <v>0.13808202732921482</v>
      </c>
      <c r="P24" s="268">
        <f t="shared" si="22"/>
        <v>0</v>
      </c>
      <c r="Q24" s="268">
        <f t="shared" si="23"/>
        <v>0</v>
      </c>
      <c r="R24" s="268">
        <f t="shared" si="24"/>
        <v>0</v>
      </c>
      <c r="S24" s="267">
        <v>140.9</v>
      </c>
      <c r="T24" s="268">
        <f t="shared" si="25"/>
        <v>4.5022346613274658E-3</v>
      </c>
      <c r="U24" s="269">
        <v>0</v>
      </c>
      <c r="V24" s="268">
        <f t="shared" si="25"/>
        <v>0</v>
      </c>
      <c r="W24" s="269">
        <v>140.9</v>
      </c>
      <c r="X24" s="270">
        <f t="shared" si="5"/>
        <v>3.987183285637113E-3</v>
      </c>
      <c r="Y24" s="269">
        <v>0</v>
      </c>
      <c r="Z24" s="269">
        <v>0</v>
      </c>
      <c r="AA24" s="269">
        <v>0</v>
      </c>
      <c r="AB24" s="269">
        <v>0</v>
      </c>
      <c r="AC24" s="269">
        <v>0</v>
      </c>
      <c r="AD24" s="269">
        <v>0</v>
      </c>
      <c r="AE24" s="269">
        <v>0</v>
      </c>
      <c r="AF24" s="269">
        <v>0</v>
      </c>
      <c r="AG24" s="269">
        <v>0</v>
      </c>
      <c r="AH24" s="269">
        <v>0</v>
      </c>
      <c r="AI24" s="269">
        <v>10.169</v>
      </c>
      <c r="AJ24" s="271">
        <v>130.73099999999999</v>
      </c>
      <c r="AK24" s="267">
        <v>206.001</v>
      </c>
      <c r="AL24" s="269">
        <v>342.97399999999999</v>
      </c>
      <c r="AM24" s="269">
        <v>412.80399999999997</v>
      </c>
      <c r="AN24" s="269">
        <v>423.50299999999999</v>
      </c>
      <c r="AO24" s="269">
        <v>476.15</v>
      </c>
      <c r="AP24" s="269">
        <v>486.68900000000002</v>
      </c>
      <c r="AQ24" s="269">
        <v>558.49300000000005</v>
      </c>
      <c r="AR24" s="269">
        <v>531.12599999999998</v>
      </c>
      <c r="AS24" s="272">
        <f>AVERAGE($AM24:$AO24)</f>
        <v>437.48566666666665</v>
      </c>
      <c r="AT24" s="272">
        <f>AVERAGE($AM24:$AO24)</f>
        <v>437.48566666666665</v>
      </c>
      <c r="AU24" s="272">
        <f>AVERAGE($AM24:$AO24)</f>
        <v>437.48566666666665</v>
      </c>
      <c r="AV24" s="273">
        <f>AVERAGE($AM24:$AO24)</f>
        <v>437.48566666666665</v>
      </c>
      <c r="AW24" s="274">
        <f t="shared" si="27"/>
        <v>0</v>
      </c>
      <c r="AX24" s="582">
        <f t="shared" si="28"/>
        <v>0</v>
      </c>
      <c r="AY24" s="267">
        <f t="shared" si="29"/>
        <v>5187.6826666666657</v>
      </c>
      <c r="AZ24" s="277">
        <f t="shared" si="30"/>
        <v>0.1499950360017335</v>
      </c>
      <c r="BA24" s="269">
        <f t="shared" si="31"/>
        <v>0</v>
      </c>
      <c r="BB24" s="268">
        <f t="shared" si="32"/>
        <v>0</v>
      </c>
      <c r="BC24" s="269">
        <f t="shared" si="33"/>
        <v>5187.6826666666657</v>
      </c>
      <c r="BD24" s="277">
        <f t="shared" si="34"/>
        <v>0.13821956846483027</v>
      </c>
      <c r="BE24" s="268">
        <f t="shared" si="35"/>
        <v>35.818187840075694</v>
      </c>
      <c r="BF24" s="268">
        <f t="shared" si="36"/>
        <v>0</v>
      </c>
      <c r="BG24" s="268">
        <f t="shared" si="37"/>
        <v>35.818187840075694</v>
      </c>
      <c r="BH24" s="594">
        <v>0.05</v>
      </c>
      <c r="BI24" s="268">
        <f t="shared" si="38"/>
        <v>0</v>
      </c>
      <c r="BJ24" s="589">
        <f t="shared" si="39"/>
        <v>0</v>
      </c>
      <c r="BK24" s="269">
        <f t="shared" si="40"/>
        <v>5447.0667999999996</v>
      </c>
      <c r="BL24" s="268">
        <f t="shared" si="7"/>
        <v>0.15552064418472869</v>
      </c>
      <c r="BM24" s="269">
        <f t="shared" si="41"/>
        <v>0</v>
      </c>
      <c r="BN24" s="268">
        <f t="shared" si="8"/>
        <v>0</v>
      </c>
      <c r="BO24" s="269">
        <f t="shared" si="42"/>
        <v>5447.0667999999996</v>
      </c>
      <c r="BP24" s="270">
        <f t="shared" si="9"/>
        <v>0.14355148060145578</v>
      </c>
      <c r="BQ24" s="585">
        <f t="shared" si="43"/>
        <v>216.30105</v>
      </c>
      <c r="BR24" s="272">
        <f t="shared" si="10"/>
        <v>360.12270000000001</v>
      </c>
      <c r="BS24" s="272">
        <f t="shared" si="11"/>
        <v>433.44419999999997</v>
      </c>
      <c r="BT24" s="272">
        <f t="shared" si="12"/>
        <v>444.67815000000002</v>
      </c>
      <c r="BU24" s="272">
        <f t="shared" si="13"/>
        <v>499.95749999999998</v>
      </c>
      <c r="BV24" s="272">
        <f t="shared" si="14"/>
        <v>511.02345000000003</v>
      </c>
      <c r="BW24" s="272">
        <f t="shared" si="15"/>
        <v>586.41765000000009</v>
      </c>
      <c r="BX24" s="272">
        <f t="shared" si="16"/>
        <v>557.68230000000005</v>
      </c>
      <c r="BY24" s="272">
        <f t="shared" si="17"/>
        <v>459.35994999999997</v>
      </c>
      <c r="BZ24" s="272">
        <f t="shared" si="18"/>
        <v>459.35994999999997</v>
      </c>
      <c r="CA24" s="272">
        <f t="shared" si="19"/>
        <v>459.35994999999997</v>
      </c>
      <c r="CB24" s="273">
        <f t="shared" si="20"/>
        <v>459.35994999999997</v>
      </c>
      <c r="CC24" s="275">
        <f t="shared" si="44"/>
        <v>0</v>
      </c>
      <c r="CD24" s="276">
        <f t="shared" si="45"/>
        <v>5.0000000000000044E-2</v>
      </c>
      <c r="CE24" s="277">
        <f t="shared" si="46"/>
        <v>0</v>
      </c>
      <c r="CF24" s="278">
        <f t="shared" si="47"/>
        <v>5.0000000000000044E-2</v>
      </c>
      <c r="CJ24" s="491">
        <f t="shared" si="48"/>
        <v>48.088950000000068</v>
      </c>
      <c r="CK24" s="269">
        <f t="shared" si="49"/>
        <v>69.317099999999755</v>
      </c>
      <c r="CL24" s="269">
        <f t="shared" si="50"/>
        <v>76.355233333333445</v>
      </c>
      <c r="CM24" s="269">
        <f t="shared" si="51"/>
        <v>65.622849999999971</v>
      </c>
      <c r="CN24" s="492">
        <f t="shared" si="52"/>
        <v>-6.8212102632969618E-13</v>
      </c>
      <c r="CO24" s="220"/>
    </row>
    <row r="25" spans="2:93" ht="22.5" customHeight="1">
      <c r="B25" s="81" t="s">
        <v>78</v>
      </c>
      <c r="C25" s="644" t="s">
        <v>87</v>
      </c>
      <c r="D25" s="77">
        <v>21.117000000000001</v>
      </c>
      <c r="E25" s="139">
        <f t="shared" si="0"/>
        <v>1.0436395735355702E-3</v>
      </c>
      <c r="F25" s="79">
        <v>3.0493878398933121</v>
      </c>
      <c r="G25" s="78">
        <f t="shared" si="1"/>
        <v>1.1139584880926123E-3</v>
      </c>
      <c r="H25" s="79">
        <v>24.166387839893307</v>
      </c>
      <c r="I25" s="140">
        <f t="shared" si="21"/>
        <v>1.0520192599186924E-3</v>
      </c>
      <c r="J25" s="77">
        <v>1.609</v>
      </c>
      <c r="K25" s="139">
        <f t="shared" si="2"/>
        <v>7.0170398061535124E-5</v>
      </c>
      <c r="L25" s="79">
        <v>0.63100000000000001</v>
      </c>
      <c r="M25" s="78">
        <f t="shared" si="3"/>
        <v>3.2088052463711511E-4</v>
      </c>
      <c r="N25" s="79">
        <v>2.2400000000000002</v>
      </c>
      <c r="O25" s="140">
        <f t="shared" si="4"/>
        <v>8.9972988421882182E-5</v>
      </c>
      <c r="P25" s="78">
        <f t="shared" si="22"/>
        <v>-0.92380546479140024</v>
      </c>
      <c r="Q25" s="78">
        <f t="shared" si="23"/>
        <v>-0.79307322219069498</v>
      </c>
      <c r="R25" s="78">
        <f t="shared" si="24"/>
        <v>-0.90730927539355877</v>
      </c>
      <c r="S25" s="77">
        <v>24.896999999999998</v>
      </c>
      <c r="T25" s="78">
        <f t="shared" si="25"/>
        <v>7.9554390605443505E-4</v>
      </c>
      <c r="U25" s="79">
        <v>4.0898787267994354</v>
      </c>
      <c r="V25" s="78">
        <f t="shared" si="25"/>
        <v>1.0116801132916042E-3</v>
      </c>
      <c r="W25" s="79">
        <v>28.986878726799436</v>
      </c>
      <c r="X25" s="80">
        <f t="shared" si="5"/>
        <v>8.2026968319577501E-4</v>
      </c>
      <c r="Y25" s="79">
        <v>2.1779999999999999</v>
      </c>
      <c r="Z25" s="79">
        <v>2.4529999999999998</v>
      </c>
      <c r="AA25" s="79">
        <v>2.9460000000000002</v>
      </c>
      <c r="AB25" s="79">
        <v>3.4780000000000002</v>
      </c>
      <c r="AC25" s="79">
        <v>3.7029999999999998</v>
      </c>
      <c r="AD25" s="79">
        <v>2.5409999999999999</v>
      </c>
      <c r="AE25" s="79">
        <v>2.1890000000000001</v>
      </c>
      <c r="AF25" s="79">
        <v>1.629</v>
      </c>
      <c r="AG25" s="79">
        <v>1.5680000000000001</v>
      </c>
      <c r="AH25" s="79">
        <v>1.0569999999999999</v>
      </c>
      <c r="AI25" s="79">
        <v>0.67800000000000005</v>
      </c>
      <c r="AJ25" s="110">
        <v>0.47699999999999998</v>
      </c>
      <c r="AK25" s="77">
        <v>0.34699999999999998</v>
      </c>
      <c r="AL25" s="79">
        <v>0.41</v>
      </c>
      <c r="AM25" s="79">
        <v>0.33200000000000002</v>
      </c>
      <c r="AN25" s="79">
        <v>0.16800000000000001</v>
      </c>
      <c r="AO25" s="79">
        <v>0.183</v>
      </c>
      <c r="AP25" s="79">
        <v>0.125</v>
      </c>
      <c r="AQ25" s="79">
        <v>4.3999999999999997E-2</v>
      </c>
      <c r="AR25" s="79">
        <v>0</v>
      </c>
      <c r="AS25" s="111">
        <f t="shared" si="26"/>
        <v>0.17040000000000002</v>
      </c>
      <c r="AT25" s="111">
        <f t="shared" si="6"/>
        <v>0.17040000000000002</v>
      </c>
      <c r="AU25" s="111">
        <f t="shared" si="6"/>
        <v>0.17040000000000002</v>
      </c>
      <c r="AV25" s="112">
        <f t="shared" si="6"/>
        <v>0.17040000000000002</v>
      </c>
      <c r="AW25" s="105">
        <f t="shared" si="27"/>
        <v>0.39216904909881917</v>
      </c>
      <c r="AX25" s="581">
        <f t="shared" si="28"/>
        <v>0.39216904909881917</v>
      </c>
      <c r="AY25" s="77">
        <f t="shared" si="29"/>
        <v>2.2906</v>
      </c>
      <c r="AZ25" s="139">
        <f t="shared" si="30"/>
        <v>6.6229692820886523E-5</v>
      </c>
      <c r="BA25" s="234">
        <f t="shared" si="31"/>
        <v>0.89830242386575521</v>
      </c>
      <c r="BB25" s="78">
        <f t="shared" si="32"/>
        <v>3.048719223004808E-4</v>
      </c>
      <c r="BC25" s="234">
        <f t="shared" si="33"/>
        <v>3.1889024238657551</v>
      </c>
      <c r="BD25" s="139">
        <f t="shared" si="34"/>
        <v>8.4964471658092176E-5</v>
      </c>
      <c r="BE25" s="78">
        <f t="shared" si="35"/>
        <v>-0.90799694742338433</v>
      </c>
      <c r="BF25" s="78">
        <f t="shared" si="36"/>
        <v>-0.78035964294502969</v>
      </c>
      <c r="BG25" s="78">
        <f t="shared" si="37"/>
        <v>-0.88998807170923522</v>
      </c>
      <c r="BH25" s="590">
        <v>0</v>
      </c>
      <c r="BI25" s="78">
        <f t="shared" si="38"/>
        <v>0.39216904909881917</v>
      </c>
      <c r="BJ25" s="591">
        <f t="shared" si="39"/>
        <v>0.39216904909881917</v>
      </c>
      <c r="BK25" s="234">
        <f t="shared" si="40"/>
        <v>2.2906</v>
      </c>
      <c r="BL25" s="78">
        <f t="shared" si="7"/>
        <v>6.5399526139378269E-5</v>
      </c>
      <c r="BM25" s="234">
        <f t="shared" si="41"/>
        <v>0.89830242386575521</v>
      </c>
      <c r="BN25" s="78">
        <f t="shared" si="8"/>
        <v>3.0760386669009517E-4</v>
      </c>
      <c r="BO25" s="234">
        <f t="shared" si="42"/>
        <v>3.1889024238657551</v>
      </c>
      <c r="BP25" s="80">
        <f t="shared" si="9"/>
        <v>8.4040031313642097E-5</v>
      </c>
      <c r="BQ25" s="584">
        <f t="shared" si="43"/>
        <v>0.34699999999999998</v>
      </c>
      <c r="BR25" s="111">
        <f t="shared" si="10"/>
        <v>0.41</v>
      </c>
      <c r="BS25" s="111">
        <f t="shared" si="11"/>
        <v>0.33200000000000002</v>
      </c>
      <c r="BT25" s="111">
        <f t="shared" si="12"/>
        <v>0.16800000000000001</v>
      </c>
      <c r="BU25" s="111">
        <f t="shared" si="13"/>
        <v>0.183</v>
      </c>
      <c r="BV25" s="111">
        <f t="shared" si="14"/>
        <v>0.125</v>
      </c>
      <c r="BW25" s="111">
        <f t="shared" si="15"/>
        <v>4.3999999999999997E-2</v>
      </c>
      <c r="BX25" s="111">
        <f t="shared" si="16"/>
        <v>0</v>
      </c>
      <c r="BY25" s="111">
        <f t="shared" si="17"/>
        <v>0.17040000000000002</v>
      </c>
      <c r="BZ25" s="111">
        <f t="shared" si="18"/>
        <v>0.17040000000000002</v>
      </c>
      <c r="CA25" s="111">
        <f t="shared" si="19"/>
        <v>0.17040000000000002</v>
      </c>
      <c r="CB25" s="112">
        <f t="shared" si="20"/>
        <v>0.17040000000000002</v>
      </c>
      <c r="CC25" s="93">
        <f t="shared" si="44"/>
        <v>0</v>
      </c>
      <c r="CD25" s="138">
        <f t="shared" si="45"/>
        <v>0</v>
      </c>
      <c r="CE25" s="139">
        <f t="shared" si="46"/>
        <v>0</v>
      </c>
      <c r="CF25" s="140">
        <f t="shared" si="47"/>
        <v>0</v>
      </c>
      <c r="CJ25" s="491">
        <f t="shared" si="48"/>
        <v>0</v>
      </c>
      <c r="CK25" s="269">
        <f t="shared" si="49"/>
        <v>0</v>
      </c>
      <c r="CL25" s="269">
        <f t="shared" si="50"/>
        <v>0</v>
      </c>
      <c r="CM25" s="269">
        <f t="shared" si="51"/>
        <v>0</v>
      </c>
      <c r="CN25" s="492">
        <f t="shared" si="52"/>
        <v>0</v>
      </c>
    </row>
    <row r="26" spans="2:93" ht="22.5" customHeight="1">
      <c r="B26" s="81" t="s">
        <v>79</v>
      </c>
      <c r="C26" s="644" t="s">
        <v>90</v>
      </c>
      <c r="D26" s="77">
        <v>18.64</v>
      </c>
      <c r="E26" s="139">
        <f t="shared" si="0"/>
        <v>9.2122184262456914E-4</v>
      </c>
      <c r="F26" s="79">
        <v>2.5190220865761375</v>
      </c>
      <c r="G26" s="78">
        <f t="shared" si="1"/>
        <v>9.2021290251240292E-4</v>
      </c>
      <c r="H26" s="79">
        <v>21.159022086576137</v>
      </c>
      <c r="I26" s="140">
        <f t="shared" si="21"/>
        <v>9.2110161036881573E-4</v>
      </c>
      <c r="J26" s="77">
        <v>16.219000000000001</v>
      </c>
      <c r="K26" s="139">
        <f t="shared" si="2"/>
        <v>7.073298235923171E-4</v>
      </c>
      <c r="L26" s="79">
        <v>9.891</v>
      </c>
      <c r="M26" s="78">
        <f t="shared" si="3"/>
        <v>5.0298403632103098E-3</v>
      </c>
      <c r="N26" s="79">
        <v>26.11</v>
      </c>
      <c r="O26" s="140">
        <f t="shared" si="4"/>
        <v>1.048747646292564E-3</v>
      </c>
      <c r="P26" s="78">
        <f t="shared" si="22"/>
        <v>-0.129881974248927</v>
      </c>
      <c r="Q26" s="78">
        <f t="shared" si="23"/>
        <v>2.9265237302638649</v>
      </c>
      <c r="R26" s="78">
        <f t="shared" si="24"/>
        <v>0.23398897610513392</v>
      </c>
      <c r="S26" s="77">
        <v>27.335999999999999</v>
      </c>
      <c r="T26" s="78">
        <f t="shared" si="25"/>
        <v>8.7347825906350309E-4</v>
      </c>
      <c r="U26" s="79">
        <v>6.1932691696234947</v>
      </c>
      <c r="V26" s="78">
        <f t="shared" si="25"/>
        <v>1.5319787391528093E-3</v>
      </c>
      <c r="W26" s="79">
        <v>33.529269169623497</v>
      </c>
      <c r="X26" s="80">
        <f t="shared" si="5"/>
        <v>9.4881008951561792E-4</v>
      </c>
      <c r="Y26" s="79">
        <v>1.9179999999999999</v>
      </c>
      <c r="Z26" s="79">
        <v>1.8540000000000001</v>
      </c>
      <c r="AA26" s="79">
        <v>2.4129999999999998</v>
      </c>
      <c r="AB26" s="79">
        <v>2.2850000000000001</v>
      </c>
      <c r="AC26" s="79">
        <v>2.2789999999999999</v>
      </c>
      <c r="AD26" s="79">
        <v>2.4860000000000002</v>
      </c>
      <c r="AE26" s="79">
        <v>2.6720000000000002</v>
      </c>
      <c r="AF26" s="79">
        <v>2.7330000000000001</v>
      </c>
      <c r="AG26" s="79">
        <v>2.9159999999999999</v>
      </c>
      <c r="AH26" s="79">
        <v>1.891</v>
      </c>
      <c r="AI26" s="79">
        <v>1.968</v>
      </c>
      <c r="AJ26" s="110">
        <v>1.921</v>
      </c>
      <c r="AK26" s="77">
        <v>1.954</v>
      </c>
      <c r="AL26" s="79">
        <v>1.9339999999999999</v>
      </c>
      <c r="AM26" s="79">
        <v>1.9119999999999999</v>
      </c>
      <c r="AN26" s="79">
        <v>1.996</v>
      </c>
      <c r="AO26" s="79">
        <v>2.1989999999999998</v>
      </c>
      <c r="AP26" s="79">
        <v>2.202</v>
      </c>
      <c r="AQ26" s="79">
        <v>2.109</v>
      </c>
      <c r="AR26" s="79">
        <v>1.913</v>
      </c>
      <c r="AS26" s="111">
        <f t="shared" si="26"/>
        <v>2.0835999999999997</v>
      </c>
      <c r="AT26" s="111">
        <f t="shared" si="6"/>
        <v>2.0835999999999997</v>
      </c>
      <c r="AU26" s="111">
        <f t="shared" si="6"/>
        <v>2.0835999999999997</v>
      </c>
      <c r="AV26" s="112">
        <f t="shared" si="6"/>
        <v>2.0835999999999997</v>
      </c>
      <c r="AW26" s="105">
        <f t="shared" si="27"/>
        <v>0.60984031074665512</v>
      </c>
      <c r="AX26" s="581">
        <f t="shared" si="28"/>
        <v>0.60984031074665512</v>
      </c>
      <c r="AY26" s="77">
        <f t="shared" si="29"/>
        <v>24.5534</v>
      </c>
      <c r="AZ26" s="139">
        <f t="shared" si="30"/>
        <v>7.0992933716421689E-4</v>
      </c>
      <c r="BA26" s="234">
        <f t="shared" si="31"/>
        <v>14.973653085886923</v>
      </c>
      <c r="BB26" s="78">
        <f t="shared" si="32"/>
        <v>5.0818591588672876E-3</v>
      </c>
      <c r="BC26" s="234">
        <f t="shared" si="33"/>
        <v>39.527053085886919</v>
      </c>
      <c r="BD26" s="139">
        <f t="shared" si="34"/>
        <v>1.0531508134301961E-3</v>
      </c>
      <c r="BE26" s="78">
        <f t="shared" si="35"/>
        <v>-0.10179250804799522</v>
      </c>
      <c r="BF26" s="78">
        <f t="shared" si="36"/>
        <v>1.4177300672363979</v>
      </c>
      <c r="BG26" s="78">
        <f t="shared" si="37"/>
        <v>0.17888203545149839</v>
      </c>
      <c r="BH26" s="590">
        <v>0</v>
      </c>
      <c r="BI26" s="78">
        <f t="shared" si="38"/>
        <v>0.60984031074665512</v>
      </c>
      <c r="BJ26" s="591">
        <f t="shared" si="39"/>
        <v>0.60984031074665512</v>
      </c>
      <c r="BK26" s="234">
        <f t="shared" si="40"/>
        <v>24.5534</v>
      </c>
      <c r="BL26" s="78">
        <f t="shared" si="7"/>
        <v>7.0103061429783043E-4</v>
      </c>
      <c r="BM26" s="234">
        <f t="shared" si="41"/>
        <v>14.973653085886921</v>
      </c>
      <c r="BN26" s="78">
        <f t="shared" si="8"/>
        <v>5.1273974836599338E-3</v>
      </c>
      <c r="BO26" s="234">
        <f t="shared" si="42"/>
        <v>39.527053085886919</v>
      </c>
      <c r="BP26" s="80">
        <f t="shared" si="9"/>
        <v>1.0416921992385717E-3</v>
      </c>
      <c r="BQ26" s="584">
        <f t="shared" si="43"/>
        <v>1.954</v>
      </c>
      <c r="BR26" s="111">
        <f t="shared" si="10"/>
        <v>1.9339999999999999</v>
      </c>
      <c r="BS26" s="111">
        <f t="shared" si="11"/>
        <v>1.9119999999999999</v>
      </c>
      <c r="BT26" s="111">
        <f t="shared" si="12"/>
        <v>1.996</v>
      </c>
      <c r="BU26" s="111">
        <f t="shared" si="13"/>
        <v>2.1989999999999998</v>
      </c>
      <c r="BV26" s="111">
        <f t="shared" si="14"/>
        <v>2.202</v>
      </c>
      <c r="BW26" s="111">
        <f t="shared" si="15"/>
        <v>2.109</v>
      </c>
      <c r="BX26" s="111">
        <f t="shared" si="16"/>
        <v>1.913</v>
      </c>
      <c r="BY26" s="111">
        <f t="shared" si="17"/>
        <v>2.0835999999999997</v>
      </c>
      <c r="BZ26" s="111">
        <f t="shared" si="18"/>
        <v>2.0835999999999997</v>
      </c>
      <c r="CA26" s="111">
        <f t="shared" si="19"/>
        <v>2.0835999999999997</v>
      </c>
      <c r="CB26" s="112">
        <f t="shared" si="20"/>
        <v>2.0835999999999997</v>
      </c>
      <c r="CC26" s="93">
        <f t="shared" si="44"/>
        <v>0</v>
      </c>
      <c r="CD26" s="138">
        <f t="shared" si="45"/>
        <v>0</v>
      </c>
      <c r="CE26" s="139">
        <f t="shared" si="46"/>
        <v>-1.1102230246251565E-16</v>
      </c>
      <c r="CF26" s="140">
        <f t="shared" si="47"/>
        <v>0</v>
      </c>
      <c r="CJ26" s="491">
        <f t="shared" si="48"/>
        <v>0</v>
      </c>
      <c r="CK26" s="269">
        <f t="shared" si="49"/>
        <v>0</v>
      </c>
      <c r="CL26" s="269">
        <f t="shared" si="50"/>
        <v>0</v>
      </c>
      <c r="CM26" s="269">
        <f t="shared" si="51"/>
        <v>0</v>
      </c>
      <c r="CN26" s="492">
        <f t="shared" si="52"/>
        <v>0</v>
      </c>
    </row>
    <row r="27" spans="2:93" ht="22.5" customHeight="1">
      <c r="B27" s="81" t="s">
        <v>80</v>
      </c>
      <c r="C27" s="644" t="s">
        <v>92</v>
      </c>
      <c r="D27" s="77">
        <v>15.972</v>
      </c>
      <c r="E27" s="139">
        <f t="shared" si="0"/>
        <v>7.8936455313302666E-4</v>
      </c>
      <c r="F27" s="79">
        <v>2.159314940801782</v>
      </c>
      <c r="G27" s="78">
        <f t="shared" si="1"/>
        <v>7.8880986383663744E-4</v>
      </c>
      <c r="H27" s="79">
        <v>18.131314940801783</v>
      </c>
      <c r="I27" s="140">
        <f t="shared" si="21"/>
        <v>7.8929845253444516E-4</v>
      </c>
      <c r="J27" s="77">
        <v>11.936999999999999</v>
      </c>
      <c r="K27" s="139">
        <f t="shared" si="2"/>
        <v>5.2058672570574557E-4</v>
      </c>
      <c r="L27" s="79">
        <v>5.75</v>
      </c>
      <c r="M27" s="78">
        <f t="shared" si="3"/>
        <v>2.9240301373429666E-3</v>
      </c>
      <c r="N27" s="79">
        <v>17.687000000000001</v>
      </c>
      <c r="O27" s="140">
        <f t="shared" si="4"/>
        <v>7.1042510991867419E-4</v>
      </c>
      <c r="P27" s="78">
        <f t="shared" si="22"/>
        <v>-0.25262960180315552</v>
      </c>
      <c r="Q27" s="78">
        <f t="shared" si="23"/>
        <v>1.662881588669483</v>
      </c>
      <c r="R27" s="78">
        <f t="shared" si="24"/>
        <v>-2.450538983258832E-2</v>
      </c>
      <c r="S27" s="77">
        <v>23.920999999999999</v>
      </c>
      <c r="T27" s="78">
        <f t="shared" si="25"/>
        <v>7.6435738348910073E-4</v>
      </c>
      <c r="U27" s="79">
        <v>4.7368744618877274</v>
      </c>
      <c r="V27" s="78">
        <f t="shared" si="25"/>
        <v>1.1717221982278324E-3</v>
      </c>
      <c r="W27" s="79">
        <v>28.657874461887729</v>
      </c>
      <c r="X27" s="80">
        <f t="shared" si="5"/>
        <v>8.1095953198243736E-4</v>
      </c>
      <c r="Y27" s="79">
        <v>1.583</v>
      </c>
      <c r="Z27" s="79">
        <v>1.75</v>
      </c>
      <c r="AA27" s="79">
        <v>1.982</v>
      </c>
      <c r="AB27" s="79">
        <v>2.1419999999999999</v>
      </c>
      <c r="AC27" s="79">
        <v>2.4319999999999999</v>
      </c>
      <c r="AD27" s="79">
        <v>2.3610000000000002</v>
      </c>
      <c r="AE27" s="79">
        <v>2.0710000000000002</v>
      </c>
      <c r="AF27" s="79">
        <v>1.651</v>
      </c>
      <c r="AG27" s="79">
        <v>2.3780000000000001</v>
      </c>
      <c r="AH27" s="79">
        <v>2.044</v>
      </c>
      <c r="AI27" s="79">
        <v>1.849</v>
      </c>
      <c r="AJ27" s="110">
        <v>1.6779999999999999</v>
      </c>
      <c r="AK27" s="77">
        <v>1.5469999999999999</v>
      </c>
      <c r="AL27" s="79">
        <v>1.611</v>
      </c>
      <c r="AM27" s="79">
        <v>1.8839999999999999</v>
      </c>
      <c r="AN27" s="79">
        <v>1.679</v>
      </c>
      <c r="AO27" s="79">
        <v>1.706</v>
      </c>
      <c r="AP27" s="79">
        <v>1.4830000000000001</v>
      </c>
      <c r="AQ27" s="79">
        <v>1.097</v>
      </c>
      <c r="AR27" s="79">
        <v>0.93</v>
      </c>
      <c r="AS27" s="111">
        <f t="shared" si="26"/>
        <v>1.5698000000000001</v>
      </c>
      <c r="AT27" s="111">
        <f t="shared" si="6"/>
        <v>1.5698000000000001</v>
      </c>
      <c r="AU27" s="111">
        <f t="shared" si="6"/>
        <v>1.5698000000000001</v>
      </c>
      <c r="AV27" s="112">
        <f t="shared" si="6"/>
        <v>1.5698000000000001</v>
      </c>
      <c r="AW27" s="105">
        <f t="shared" si="27"/>
        <v>0.48169556840077071</v>
      </c>
      <c r="AX27" s="581">
        <f t="shared" si="28"/>
        <v>0.48169556840077071</v>
      </c>
      <c r="AY27" s="77">
        <f t="shared" si="29"/>
        <v>18.216200000000001</v>
      </c>
      <c r="AZ27" s="139">
        <f t="shared" si="30"/>
        <v>5.2669751609352709E-4</v>
      </c>
      <c r="BA27" s="234">
        <f t="shared" si="31"/>
        <v>8.77466281310212</v>
      </c>
      <c r="BB27" s="78">
        <f t="shared" si="32"/>
        <v>2.97800412010106E-3</v>
      </c>
      <c r="BC27" s="234">
        <f t="shared" si="33"/>
        <v>26.990862813102119</v>
      </c>
      <c r="BD27" s="139">
        <f t="shared" si="34"/>
        <v>7.1913909354782122E-4</v>
      </c>
      <c r="BE27" s="78">
        <f t="shared" si="35"/>
        <v>-0.23848501316834581</v>
      </c>
      <c r="BF27" s="78">
        <f t="shared" si="36"/>
        <v>0.85241616253542496</v>
      </c>
      <c r="BG27" s="78">
        <f t="shared" si="37"/>
        <v>-5.8169409981978171E-2</v>
      </c>
      <c r="BH27" s="590">
        <v>0</v>
      </c>
      <c r="BI27" s="78">
        <f t="shared" si="38"/>
        <v>0.48169556840077071</v>
      </c>
      <c r="BJ27" s="591">
        <f t="shared" si="39"/>
        <v>0.48169556840077071</v>
      </c>
      <c r="BK27" s="234">
        <f t="shared" si="40"/>
        <v>18.216200000000001</v>
      </c>
      <c r="BL27" s="78">
        <f t="shared" si="7"/>
        <v>5.2009554180570267E-4</v>
      </c>
      <c r="BM27" s="234">
        <f t="shared" si="41"/>
        <v>8.77466281310212</v>
      </c>
      <c r="BN27" s="78">
        <f t="shared" si="8"/>
        <v>3.0046898889536603E-3</v>
      </c>
      <c r="BO27" s="234">
        <f t="shared" si="42"/>
        <v>26.990862813102119</v>
      </c>
      <c r="BP27" s="80">
        <f t="shared" si="9"/>
        <v>7.1131463258933844E-4</v>
      </c>
      <c r="BQ27" s="584">
        <f t="shared" si="43"/>
        <v>1.5469999999999999</v>
      </c>
      <c r="BR27" s="111">
        <f t="shared" si="10"/>
        <v>1.611</v>
      </c>
      <c r="BS27" s="111">
        <f t="shared" si="11"/>
        <v>1.8839999999999999</v>
      </c>
      <c r="BT27" s="111">
        <f t="shared" si="12"/>
        <v>1.679</v>
      </c>
      <c r="BU27" s="111">
        <f t="shared" si="13"/>
        <v>1.706</v>
      </c>
      <c r="BV27" s="111">
        <f t="shared" si="14"/>
        <v>1.4830000000000001</v>
      </c>
      <c r="BW27" s="111">
        <f t="shared" si="15"/>
        <v>1.097</v>
      </c>
      <c r="BX27" s="111">
        <f t="shared" si="16"/>
        <v>0.93</v>
      </c>
      <c r="BY27" s="111">
        <f t="shared" si="17"/>
        <v>1.5698000000000001</v>
      </c>
      <c r="BZ27" s="111">
        <f t="shared" si="18"/>
        <v>1.5698000000000001</v>
      </c>
      <c r="CA27" s="111">
        <f t="shared" si="19"/>
        <v>1.5698000000000001</v>
      </c>
      <c r="CB27" s="112">
        <f t="shared" si="20"/>
        <v>1.5698000000000001</v>
      </c>
      <c r="CC27" s="93">
        <f t="shared" si="44"/>
        <v>0</v>
      </c>
      <c r="CD27" s="138">
        <f t="shared" si="45"/>
        <v>0</v>
      </c>
      <c r="CE27" s="139">
        <f t="shared" si="46"/>
        <v>0</v>
      </c>
      <c r="CF27" s="140">
        <f t="shared" si="47"/>
        <v>0</v>
      </c>
      <c r="CJ27" s="491">
        <f t="shared" si="48"/>
        <v>0</v>
      </c>
      <c r="CK27" s="269">
        <f t="shared" si="49"/>
        <v>0</v>
      </c>
      <c r="CL27" s="269">
        <f t="shared" si="50"/>
        <v>0</v>
      </c>
      <c r="CM27" s="269">
        <f t="shared" si="51"/>
        <v>0</v>
      </c>
      <c r="CN27" s="492">
        <f t="shared" si="52"/>
        <v>0</v>
      </c>
    </row>
    <row r="28" spans="2:93" ht="22.5" customHeight="1">
      <c r="B28" s="81" t="s">
        <v>81</v>
      </c>
      <c r="C28" s="644" t="s">
        <v>94</v>
      </c>
      <c r="D28" s="77">
        <v>8.6750000000000007</v>
      </c>
      <c r="E28" s="139">
        <f t="shared" si="0"/>
        <v>4.2873387793820482E-4</v>
      </c>
      <c r="F28" s="79">
        <v>1.1934863992022353</v>
      </c>
      <c r="G28" s="78">
        <f t="shared" si="1"/>
        <v>4.3598727830597385E-4</v>
      </c>
      <c r="H28" s="79">
        <v>9.8684863992022365</v>
      </c>
      <c r="I28" s="140">
        <f t="shared" si="21"/>
        <v>4.2959824310476072E-4</v>
      </c>
      <c r="J28" s="77">
        <v>5.7229999999999999</v>
      </c>
      <c r="K28" s="139">
        <f t="shared" si="2"/>
        <v>2.4958681672229054E-4</v>
      </c>
      <c r="L28" s="79">
        <v>2.6779999999999999</v>
      </c>
      <c r="M28" s="78">
        <f t="shared" si="3"/>
        <v>1.3618352535312113E-3</v>
      </c>
      <c r="N28" s="79">
        <v>8.4009999999999998</v>
      </c>
      <c r="O28" s="140">
        <f t="shared" si="4"/>
        <v>3.3743887309474647E-4</v>
      </c>
      <c r="P28" s="78">
        <f t="shared" si="22"/>
        <v>-0.34028818443804043</v>
      </c>
      <c r="Q28" s="78">
        <f t="shared" si="23"/>
        <v>1.2438462656885418</v>
      </c>
      <c r="R28" s="78">
        <f t="shared" si="24"/>
        <v>-0.14870430376444232</v>
      </c>
      <c r="S28" s="77">
        <v>12.044</v>
      </c>
      <c r="T28" s="78">
        <f t="shared" si="25"/>
        <v>3.8484680100090839E-4</v>
      </c>
      <c r="U28" s="79">
        <v>2.2076322087042564</v>
      </c>
      <c r="V28" s="78">
        <f t="shared" si="25"/>
        <v>5.4608406561626672E-4</v>
      </c>
      <c r="W28" s="79">
        <v>14.251632208704256</v>
      </c>
      <c r="X28" s="80">
        <f t="shared" si="5"/>
        <v>4.0329219116815571E-4</v>
      </c>
      <c r="Y28" s="79">
        <v>1.0009999999999999</v>
      </c>
      <c r="Z28" s="79">
        <v>0.96399999999999997</v>
      </c>
      <c r="AA28" s="79">
        <v>0.97399999999999998</v>
      </c>
      <c r="AB28" s="79">
        <v>1.2370000000000001</v>
      </c>
      <c r="AC28" s="79">
        <v>1.2969999999999999</v>
      </c>
      <c r="AD28" s="79">
        <v>1.0249999999999999</v>
      </c>
      <c r="AE28" s="79">
        <v>1.2070000000000001</v>
      </c>
      <c r="AF28" s="79">
        <v>0.97</v>
      </c>
      <c r="AG28" s="79">
        <v>1.1379999999999999</v>
      </c>
      <c r="AH28" s="79">
        <v>0.76100000000000001</v>
      </c>
      <c r="AI28" s="79">
        <v>0.76400000000000001</v>
      </c>
      <c r="AJ28" s="110">
        <v>0.70599999999999996</v>
      </c>
      <c r="AK28" s="77">
        <v>0.86899999999999999</v>
      </c>
      <c r="AL28" s="79">
        <v>0.89100000000000001</v>
      </c>
      <c r="AM28" s="79">
        <v>0.73699999999999999</v>
      </c>
      <c r="AN28" s="79">
        <v>0.73899999999999999</v>
      </c>
      <c r="AO28" s="79">
        <v>0.86299999999999999</v>
      </c>
      <c r="AP28" s="79">
        <v>0.69599999999999995</v>
      </c>
      <c r="AQ28" s="79">
        <v>0.55400000000000005</v>
      </c>
      <c r="AR28" s="79">
        <v>0.374</v>
      </c>
      <c r="AS28" s="111">
        <f t="shared" si="26"/>
        <v>0.7178000000000001</v>
      </c>
      <c r="AT28" s="111">
        <f t="shared" si="6"/>
        <v>0.7178000000000001</v>
      </c>
      <c r="AU28" s="111">
        <f t="shared" si="6"/>
        <v>0.7178000000000001</v>
      </c>
      <c r="AV28" s="112">
        <f t="shared" si="6"/>
        <v>0.7178000000000001</v>
      </c>
      <c r="AW28" s="105">
        <f t="shared" si="27"/>
        <v>0.46793639699458328</v>
      </c>
      <c r="AX28" s="581">
        <f t="shared" si="28"/>
        <v>0.46793639699458328</v>
      </c>
      <c r="AY28" s="77">
        <f t="shared" si="29"/>
        <v>8.5942000000000007</v>
      </c>
      <c r="AZ28" s="139">
        <f t="shared" si="30"/>
        <v>2.484900139881529E-4</v>
      </c>
      <c r="BA28" s="234">
        <f t="shared" si="31"/>
        <v>4.0215389830508474</v>
      </c>
      <c r="BB28" s="78">
        <f t="shared" si="32"/>
        <v>1.3648569655337558E-3</v>
      </c>
      <c r="BC28" s="234">
        <f t="shared" si="33"/>
        <v>12.615738983050848</v>
      </c>
      <c r="BD28" s="139">
        <f t="shared" si="34"/>
        <v>3.3613119964075649E-4</v>
      </c>
      <c r="BE28" s="78">
        <f t="shared" si="35"/>
        <v>-0.28643307871139156</v>
      </c>
      <c r="BF28" s="78">
        <f t="shared" si="36"/>
        <v>0.82165261368932563</v>
      </c>
      <c r="BG28" s="78">
        <f t="shared" si="37"/>
        <v>-0.11478637686526028</v>
      </c>
      <c r="BH28" s="590">
        <v>0</v>
      </c>
      <c r="BI28" s="78">
        <f t="shared" si="38"/>
        <v>0.46793639699458323</v>
      </c>
      <c r="BJ28" s="591">
        <f t="shared" si="39"/>
        <v>0.46793639699458323</v>
      </c>
      <c r="BK28" s="234">
        <f t="shared" si="40"/>
        <v>8.5942000000000007</v>
      </c>
      <c r="BL28" s="78">
        <f t="shared" si="7"/>
        <v>2.4537527614906346E-4</v>
      </c>
      <c r="BM28" s="234">
        <f t="shared" si="41"/>
        <v>4.0215389830508474</v>
      </c>
      <c r="BN28" s="78">
        <f t="shared" si="8"/>
        <v>1.3770873910235162E-3</v>
      </c>
      <c r="BO28" s="234">
        <f t="shared" si="42"/>
        <v>12.615738983050848</v>
      </c>
      <c r="BP28" s="80">
        <f t="shared" si="9"/>
        <v>3.3247398579698957E-4</v>
      </c>
      <c r="BQ28" s="584">
        <f t="shared" si="43"/>
        <v>0.86899999999999999</v>
      </c>
      <c r="BR28" s="111">
        <f t="shared" si="10"/>
        <v>0.89100000000000001</v>
      </c>
      <c r="BS28" s="111">
        <f t="shared" si="11"/>
        <v>0.73699999999999999</v>
      </c>
      <c r="BT28" s="111">
        <f t="shared" si="12"/>
        <v>0.73899999999999999</v>
      </c>
      <c r="BU28" s="111">
        <f t="shared" si="13"/>
        <v>0.86299999999999999</v>
      </c>
      <c r="BV28" s="111">
        <f t="shared" si="14"/>
        <v>0.69599999999999995</v>
      </c>
      <c r="BW28" s="111">
        <f t="shared" si="15"/>
        <v>0.55400000000000005</v>
      </c>
      <c r="BX28" s="111">
        <f t="shared" si="16"/>
        <v>0.374</v>
      </c>
      <c r="BY28" s="111">
        <f t="shared" si="17"/>
        <v>0.7178000000000001</v>
      </c>
      <c r="BZ28" s="111">
        <f t="shared" si="18"/>
        <v>0.7178000000000001</v>
      </c>
      <c r="CA28" s="111">
        <f t="shared" si="19"/>
        <v>0.7178000000000001</v>
      </c>
      <c r="CB28" s="112">
        <f t="shared" si="20"/>
        <v>0.7178000000000001</v>
      </c>
      <c r="CC28" s="93">
        <f t="shared" si="44"/>
        <v>0</v>
      </c>
      <c r="CD28" s="138">
        <f t="shared" si="45"/>
        <v>0</v>
      </c>
      <c r="CE28" s="139">
        <f t="shared" si="46"/>
        <v>0</v>
      </c>
      <c r="CF28" s="140">
        <f t="shared" si="47"/>
        <v>0</v>
      </c>
      <c r="CJ28" s="491">
        <f t="shared" si="48"/>
        <v>0</v>
      </c>
      <c r="CK28" s="269">
        <f t="shared" si="49"/>
        <v>0</v>
      </c>
      <c r="CL28" s="269">
        <f t="shared" si="50"/>
        <v>0</v>
      </c>
      <c r="CM28" s="269">
        <f t="shared" si="51"/>
        <v>0</v>
      </c>
      <c r="CN28" s="492">
        <f t="shared" si="52"/>
        <v>0</v>
      </c>
    </row>
    <row r="29" spans="2:93" ht="22.5" customHeight="1" thickBot="1">
      <c r="B29" s="81" t="s">
        <v>82</v>
      </c>
      <c r="C29" s="646" t="s">
        <v>96</v>
      </c>
      <c r="D29" s="77">
        <v>38.819000000000003</v>
      </c>
      <c r="E29" s="139">
        <f t="shared" si="0"/>
        <v>1.9185037933928729E-3</v>
      </c>
      <c r="F29" s="79">
        <v>5.285788733526533</v>
      </c>
      <c r="G29" s="78">
        <f t="shared" si="1"/>
        <v>1.9309282830294841E-3</v>
      </c>
      <c r="H29" s="79">
        <v>44.10478873352654</v>
      </c>
      <c r="I29" s="140">
        <f t="shared" si="21"/>
        <v>1.919984381187508E-3</v>
      </c>
      <c r="J29" s="77">
        <v>28.687000000000001</v>
      </c>
      <c r="K29" s="139">
        <f t="shared" si="2"/>
        <v>1.2510740889939453E-3</v>
      </c>
      <c r="L29" s="79">
        <v>14.259</v>
      </c>
      <c r="M29" s="78">
        <f t="shared" si="3"/>
        <v>7.2510862136301495E-3</v>
      </c>
      <c r="N29" s="79">
        <v>42.945999999999998</v>
      </c>
      <c r="O29" s="140">
        <f t="shared" si="4"/>
        <v>1.7249910539134607E-3</v>
      </c>
      <c r="P29" s="78">
        <f t="shared" si="22"/>
        <v>-0.26100620830005927</v>
      </c>
      <c r="Q29" s="78">
        <f t="shared" si="23"/>
        <v>1.6976106535545901</v>
      </c>
      <c r="R29" s="78">
        <f t="shared" si="24"/>
        <v>-2.6273535523041347E-2</v>
      </c>
      <c r="S29" s="77">
        <v>53.938000000000002</v>
      </c>
      <c r="T29" s="78">
        <f t="shared" si="25"/>
        <v>1.72350271939447E-3</v>
      </c>
      <c r="U29" s="79">
        <v>10.616345432985087</v>
      </c>
      <c r="V29" s="78">
        <f t="shared" si="25"/>
        <v>2.6260792233294638E-3</v>
      </c>
      <c r="W29" s="79">
        <v>64.554345432985087</v>
      </c>
      <c r="X29" s="80">
        <f t="shared" si="5"/>
        <v>1.826756615512013E-3</v>
      </c>
      <c r="Y29" s="79">
        <v>4.0910000000000002</v>
      </c>
      <c r="Z29" s="79">
        <v>4.0919999999999996</v>
      </c>
      <c r="AA29" s="79">
        <v>4.8120000000000003</v>
      </c>
      <c r="AB29" s="79">
        <v>5.1280000000000001</v>
      </c>
      <c r="AC29" s="79">
        <v>5.343</v>
      </c>
      <c r="AD29" s="79">
        <v>5.2160000000000002</v>
      </c>
      <c r="AE29" s="79">
        <v>4.9889999999999999</v>
      </c>
      <c r="AF29" s="79">
        <v>5.1479999999999997</v>
      </c>
      <c r="AG29" s="79">
        <v>5.1130000000000004</v>
      </c>
      <c r="AH29" s="79">
        <v>3.4340000000000002</v>
      </c>
      <c r="AI29" s="79">
        <v>3.3260000000000001</v>
      </c>
      <c r="AJ29" s="110">
        <v>3.246</v>
      </c>
      <c r="AK29" s="77">
        <v>3.5449999999999999</v>
      </c>
      <c r="AL29" s="79">
        <v>3.7240000000000002</v>
      </c>
      <c r="AM29" s="79">
        <v>3.8969999999999998</v>
      </c>
      <c r="AN29" s="79">
        <v>3.6080000000000001</v>
      </c>
      <c r="AO29" s="79">
        <v>3.8010000000000002</v>
      </c>
      <c r="AP29" s="79">
        <v>3.6629999999999998</v>
      </c>
      <c r="AQ29" s="79">
        <v>3.4940000000000002</v>
      </c>
      <c r="AR29" s="79">
        <v>2.9550000000000001</v>
      </c>
      <c r="AS29" s="111">
        <f t="shared" si="26"/>
        <v>3.6926000000000001</v>
      </c>
      <c r="AT29" s="111">
        <f t="shared" si="6"/>
        <v>3.6926000000000001</v>
      </c>
      <c r="AU29" s="111">
        <f t="shared" si="6"/>
        <v>3.6926000000000001</v>
      </c>
      <c r="AV29" s="112">
        <f t="shared" si="6"/>
        <v>3.6926000000000001</v>
      </c>
      <c r="AW29" s="105">
        <f t="shared" si="27"/>
        <v>0.49705441489176283</v>
      </c>
      <c r="AX29" s="581">
        <f t="shared" si="28"/>
        <v>0.49705441489176283</v>
      </c>
      <c r="AY29" s="85">
        <f t="shared" si="29"/>
        <v>43.4574</v>
      </c>
      <c r="AZ29" s="145">
        <f t="shared" si="30"/>
        <v>1.2565136875903231E-3</v>
      </c>
      <c r="BA29" s="235">
        <f t="shared" si="31"/>
        <v>21.600692529717293</v>
      </c>
      <c r="BB29" s="86">
        <f t="shared" si="32"/>
        <v>7.3309884061280159E-3</v>
      </c>
      <c r="BC29" s="235">
        <f t="shared" si="33"/>
        <v>65.0580925297173</v>
      </c>
      <c r="BD29" s="145">
        <f t="shared" si="34"/>
        <v>1.733394668178597E-3</v>
      </c>
      <c r="BE29" s="86">
        <f t="shared" si="35"/>
        <v>-0.1943082798768957</v>
      </c>
      <c r="BF29" s="86">
        <f t="shared" si="36"/>
        <v>1.0346636859237583</v>
      </c>
      <c r="BG29" s="86">
        <f t="shared" si="37"/>
        <v>7.8034575883842994E-3</v>
      </c>
      <c r="BH29" s="638">
        <v>0</v>
      </c>
      <c r="BI29" s="86">
        <f t="shared" si="38"/>
        <v>0.49705441489176277</v>
      </c>
      <c r="BJ29" s="639">
        <f t="shared" si="39"/>
        <v>0.49705441489176277</v>
      </c>
      <c r="BK29" s="235">
        <f t="shared" si="40"/>
        <v>43.4574</v>
      </c>
      <c r="BL29" s="86">
        <f t="shared" si="7"/>
        <v>1.2407637157292489E-3</v>
      </c>
      <c r="BM29" s="235">
        <f t="shared" si="41"/>
        <v>21.600692529717293</v>
      </c>
      <c r="BN29" s="86">
        <f t="shared" si="8"/>
        <v>7.3966810828931459E-3</v>
      </c>
      <c r="BO29" s="235">
        <f t="shared" si="42"/>
        <v>65.0580925297173</v>
      </c>
      <c r="BP29" s="88">
        <f t="shared" si="9"/>
        <v>1.7145347855376822E-3</v>
      </c>
      <c r="BQ29" s="584">
        <f t="shared" si="43"/>
        <v>3.5449999999999999</v>
      </c>
      <c r="BR29" s="111">
        <f t="shared" si="10"/>
        <v>3.7240000000000002</v>
      </c>
      <c r="BS29" s="111">
        <f t="shared" si="11"/>
        <v>3.8969999999999998</v>
      </c>
      <c r="BT29" s="111">
        <f t="shared" si="12"/>
        <v>3.6080000000000001</v>
      </c>
      <c r="BU29" s="111">
        <f t="shared" si="13"/>
        <v>3.8010000000000002</v>
      </c>
      <c r="BV29" s="111">
        <f t="shared" si="14"/>
        <v>3.6629999999999998</v>
      </c>
      <c r="BW29" s="111">
        <f t="shared" si="15"/>
        <v>3.4940000000000002</v>
      </c>
      <c r="BX29" s="111">
        <f t="shared" si="16"/>
        <v>2.9550000000000001</v>
      </c>
      <c r="BY29" s="111">
        <f t="shared" si="17"/>
        <v>3.6926000000000001</v>
      </c>
      <c r="BZ29" s="111">
        <f t="shared" si="18"/>
        <v>3.6926000000000001</v>
      </c>
      <c r="CA29" s="111">
        <f t="shared" si="19"/>
        <v>3.6926000000000001</v>
      </c>
      <c r="CB29" s="112">
        <f t="shared" si="20"/>
        <v>3.6926000000000001</v>
      </c>
      <c r="CC29" s="93">
        <f t="shared" si="44"/>
        <v>0</v>
      </c>
      <c r="CD29" s="138">
        <f t="shared" si="45"/>
        <v>0</v>
      </c>
      <c r="CE29" s="139">
        <f t="shared" si="46"/>
        <v>0</v>
      </c>
      <c r="CF29" s="140">
        <f t="shared" si="47"/>
        <v>0</v>
      </c>
      <c r="CJ29" s="491">
        <f t="shared" si="48"/>
        <v>0</v>
      </c>
      <c r="CK29" s="269">
        <f t="shared" si="49"/>
        <v>0</v>
      </c>
      <c r="CL29" s="269">
        <f t="shared" si="50"/>
        <v>0</v>
      </c>
      <c r="CM29" s="269">
        <f t="shared" si="51"/>
        <v>0</v>
      </c>
      <c r="CN29" s="492">
        <f t="shared" si="52"/>
        <v>0</v>
      </c>
    </row>
    <row r="30" spans="2:93" hidden="1">
      <c r="B30" s="119" t="s">
        <v>129</v>
      </c>
      <c r="C30" s="641" t="s">
        <v>129</v>
      </c>
      <c r="D30" s="121"/>
      <c r="E30" s="142"/>
      <c r="F30" s="123"/>
      <c r="G30" s="122"/>
      <c r="H30" s="123"/>
      <c r="I30" s="143"/>
      <c r="J30" s="121"/>
      <c r="K30" s="142"/>
      <c r="L30" s="123"/>
      <c r="M30" s="122"/>
      <c r="N30" s="123"/>
      <c r="O30" s="143"/>
      <c r="P30" s="122"/>
      <c r="Q30" s="122"/>
      <c r="R30" s="122"/>
      <c r="S30" s="121"/>
      <c r="T30" s="122"/>
      <c r="U30" s="123"/>
      <c r="V30" s="122"/>
      <c r="W30" s="123"/>
      <c r="X30" s="124"/>
      <c r="Y30" s="123"/>
      <c r="Z30" s="123"/>
      <c r="AA30" s="123"/>
      <c r="AB30" s="123"/>
      <c r="AC30" s="123"/>
      <c r="AD30" s="123"/>
      <c r="AE30" s="123"/>
      <c r="AF30" s="123"/>
      <c r="AG30" s="123"/>
      <c r="AH30" s="123"/>
      <c r="AI30" s="123"/>
      <c r="AJ30" s="125"/>
      <c r="AK30" s="121"/>
      <c r="AL30" s="123"/>
      <c r="AM30" s="123"/>
      <c r="AN30" s="123"/>
      <c r="AO30" s="123"/>
      <c r="AP30" s="123"/>
      <c r="AQ30" s="123"/>
      <c r="AR30" s="123"/>
      <c r="AS30" s="128"/>
      <c r="AT30" s="128"/>
      <c r="AU30" s="128"/>
      <c r="AV30" s="129"/>
      <c r="AW30" s="126"/>
      <c r="AX30" s="130"/>
      <c r="AY30" s="607"/>
      <c r="AZ30" s="608"/>
      <c r="BA30" s="609"/>
      <c r="BB30" s="610"/>
      <c r="BC30" s="609"/>
      <c r="BD30" s="611"/>
      <c r="BE30" s="612"/>
      <c r="BF30" s="610"/>
      <c r="BG30" s="613"/>
      <c r="BH30" s="614">
        <v>0</v>
      </c>
      <c r="BI30" s="615">
        <f t="shared" si="38"/>
        <v>0</v>
      </c>
      <c r="BJ30" s="616">
        <f t="shared" si="39"/>
        <v>0</v>
      </c>
      <c r="BK30" s="607">
        <f t="shared" si="40"/>
        <v>0</v>
      </c>
      <c r="BL30" s="610"/>
      <c r="BM30" s="609">
        <f t="shared" si="41"/>
        <v>0</v>
      </c>
      <c r="BN30" s="610"/>
      <c r="BO30" s="609">
        <f t="shared" si="42"/>
        <v>0</v>
      </c>
      <c r="BP30" s="617"/>
      <c r="BQ30" s="132">
        <f t="shared" si="43"/>
        <v>0</v>
      </c>
      <c r="BR30" s="128">
        <f t="shared" si="10"/>
        <v>0</v>
      </c>
      <c r="BS30" s="128">
        <f t="shared" si="11"/>
        <v>0</v>
      </c>
      <c r="BT30" s="128">
        <f t="shared" si="12"/>
        <v>0</v>
      </c>
      <c r="BU30" s="128">
        <f t="shared" si="13"/>
        <v>0</v>
      </c>
      <c r="BV30" s="128">
        <f t="shared" si="14"/>
        <v>0</v>
      </c>
      <c r="BW30" s="128">
        <f t="shared" si="15"/>
        <v>0</v>
      </c>
      <c r="BX30" s="128">
        <f t="shared" si="16"/>
        <v>0</v>
      </c>
      <c r="BY30" s="128">
        <f t="shared" si="17"/>
        <v>0</v>
      </c>
      <c r="BZ30" s="128">
        <f t="shared" si="18"/>
        <v>0</v>
      </c>
      <c r="CA30" s="128">
        <f t="shared" si="19"/>
        <v>0</v>
      </c>
      <c r="CB30" s="129">
        <f t="shared" si="20"/>
        <v>0</v>
      </c>
      <c r="CC30" s="93">
        <f t="shared" si="44"/>
        <v>0</v>
      </c>
      <c r="CD30" s="141">
        <f t="shared" si="45"/>
        <v>0</v>
      </c>
      <c r="CE30" s="142">
        <f t="shared" si="46"/>
        <v>0</v>
      </c>
      <c r="CF30" s="143">
        <f t="shared" si="47"/>
        <v>0</v>
      </c>
      <c r="CJ30" s="491">
        <f t="shared" si="48"/>
        <v>0</v>
      </c>
      <c r="CK30" s="269">
        <f t="shared" si="49"/>
        <v>0</v>
      </c>
      <c r="CL30" s="269">
        <f t="shared" si="50"/>
        <v>0</v>
      </c>
      <c r="CM30" s="269">
        <f t="shared" si="51"/>
        <v>0</v>
      </c>
      <c r="CN30" s="492">
        <f t="shared" si="52"/>
        <v>0</v>
      </c>
    </row>
    <row r="31" spans="2:93" hidden="1">
      <c r="B31" s="119" t="s">
        <v>326</v>
      </c>
      <c r="C31" s="120" t="s">
        <v>326</v>
      </c>
      <c r="D31" s="121"/>
      <c r="E31" s="142"/>
      <c r="F31" s="123"/>
      <c r="G31" s="122"/>
      <c r="H31" s="123"/>
      <c r="I31" s="143"/>
      <c r="J31" s="121"/>
      <c r="K31" s="142"/>
      <c r="L31" s="123"/>
      <c r="M31" s="122"/>
      <c r="N31" s="123"/>
      <c r="O31" s="143"/>
      <c r="P31" s="122"/>
      <c r="Q31" s="122"/>
      <c r="R31" s="122"/>
      <c r="S31" s="121"/>
      <c r="T31" s="122"/>
      <c r="U31" s="123"/>
      <c r="V31" s="122"/>
      <c r="W31" s="123"/>
      <c r="X31" s="124"/>
      <c r="Y31" s="123"/>
      <c r="Z31" s="123"/>
      <c r="AA31" s="123"/>
      <c r="AB31" s="123"/>
      <c r="AC31" s="123"/>
      <c r="AD31" s="123"/>
      <c r="AE31" s="123"/>
      <c r="AF31" s="123"/>
      <c r="AG31" s="123"/>
      <c r="AH31" s="123"/>
      <c r="AI31" s="123"/>
      <c r="AJ31" s="125"/>
      <c r="AK31" s="121"/>
      <c r="AL31" s="123"/>
      <c r="AM31" s="123"/>
      <c r="AN31" s="123"/>
      <c r="AO31" s="123"/>
      <c r="AP31" s="123"/>
      <c r="AQ31" s="123"/>
      <c r="AR31" s="123"/>
      <c r="AS31" s="128"/>
      <c r="AT31" s="128"/>
      <c r="AU31" s="128"/>
      <c r="AV31" s="129"/>
      <c r="AW31" s="126"/>
      <c r="AX31" s="130"/>
      <c r="AY31" s="121"/>
      <c r="AZ31" s="142"/>
      <c r="BA31" s="123"/>
      <c r="BB31" s="122"/>
      <c r="BC31" s="123"/>
      <c r="BD31" s="143"/>
      <c r="BE31" s="127"/>
      <c r="BF31" s="122"/>
      <c r="BG31" s="131"/>
      <c r="BH31" s="134"/>
      <c r="BI31" s="126"/>
      <c r="BJ31" s="130"/>
      <c r="BK31" s="121"/>
      <c r="BL31" s="122"/>
      <c r="BM31" s="123"/>
      <c r="BN31" s="122"/>
      <c r="BO31" s="123"/>
      <c r="BP31" s="124"/>
      <c r="BQ31" s="132"/>
      <c r="BR31" s="128"/>
      <c r="BS31" s="128"/>
      <c r="BT31" s="128"/>
      <c r="BU31" s="128"/>
      <c r="BV31" s="128"/>
      <c r="BW31" s="128"/>
      <c r="BX31" s="128"/>
      <c r="BY31" s="128"/>
      <c r="BZ31" s="128"/>
      <c r="CA31" s="128"/>
      <c r="CB31" s="129"/>
      <c r="CC31" s="93"/>
      <c r="CD31" s="141">
        <f t="shared" si="45"/>
        <v>0</v>
      </c>
      <c r="CE31" s="142">
        <f t="shared" si="46"/>
        <v>0</v>
      </c>
      <c r="CF31" s="143">
        <f t="shared" si="47"/>
        <v>0</v>
      </c>
      <c r="CJ31" s="491">
        <f t="shared" si="48"/>
        <v>0</v>
      </c>
      <c r="CK31" s="269">
        <f t="shared" si="49"/>
        <v>0</v>
      </c>
      <c r="CL31" s="269">
        <f t="shared" si="50"/>
        <v>0</v>
      </c>
      <c r="CM31" s="269">
        <f t="shared" si="51"/>
        <v>0</v>
      </c>
      <c r="CN31" s="492">
        <f t="shared" si="52"/>
        <v>0</v>
      </c>
    </row>
    <row r="32" spans="2:93" ht="12" hidden="1" thickBot="1">
      <c r="B32" s="83" t="s">
        <v>101</v>
      </c>
      <c r="C32" s="84" t="s">
        <v>101</v>
      </c>
      <c r="D32" s="85">
        <v>0</v>
      </c>
      <c r="E32" s="145">
        <f>D32/D$33</f>
        <v>0</v>
      </c>
      <c r="F32" s="87">
        <v>0</v>
      </c>
      <c r="G32" s="86">
        <f>F32/F$33</f>
        <v>0</v>
      </c>
      <c r="H32" s="87">
        <v>0</v>
      </c>
      <c r="I32" s="146">
        <f t="shared" si="21"/>
        <v>0</v>
      </c>
      <c r="J32" s="85">
        <v>0</v>
      </c>
      <c r="K32" s="145">
        <f t="shared" si="2"/>
        <v>0</v>
      </c>
      <c r="L32" s="87">
        <v>0</v>
      </c>
      <c r="M32" s="86">
        <f t="shared" si="3"/>
        <v>0</v>
      </c>
      <c r="N32" s="87">
        <v>0</v>
      </c>
      <c r="O32" s="146">
        <f t="shared" si="4"/>
        <v>0</v>
      </c>
      <c r="P32" s="86">
        <f t="shared" si="22"/>
        <v>0</v>
      </c>
      <c r="Q32" s="86">
        <f t="shared" si="23"/>
        <v>0</v>
      </c>
      <c r="R32" s="86">
        <f t="shared" si="24"/>
        <v>0</v>
      </c>
      <c r="S32" s="85">
        <v>0</v>
      </c>
      <c r="T32" s="86">
        <f t="shared" si="25"/>
        <v>0</v>
      </c>
      <c r="U32" s="87">
        <v>0</v>
      </c>
      <c r="V32" s="86">
        <f t="shared" si="25"/>
        <v>0</v>
      </c>
      <c r="W32" s="87">
        <v>0</v>
      </c>
      <c r="X32" s="88">
        <f>W32/W$33</f>
        <v>0</v>
      </c>
      <c r="Y32" s="87"/>
      <c r="Z32" s="87"/>
      <c r="AA32" s="87"/>
      <c r="AB32" s="87"/>
      <c r="AC32" s="87"/>
      <c r="AD32" s="87"/>
      <c r="AE32" s="87"/>
      <c r="AF32" s="87"/>
      <c r="AG32" s="87"/>
      <c r="AH32" s="87"/>
      <c r="AI32" s="87"/>
      <c r="AJ32" s="113"/>
      <c r="AK32" s="85">
        <v>0</v>
      </c>
      <c r="AL32" s="87">
        <v>0</v>
      </c>
      <c r="AM32" s="87">
        <v>0</v>
      </c>
      <c r="AN32" s="87">
        <v>0</v>
      </c>
      <c r="AO32" s="87">
        <v>0</v>
      </c>
      <c r="AP32" s="87">
        <v>0</v>
      </c>
      <c r="AQ32" s="87">
        <v>0</v>
      </c>
      <c r="AR32" s="87">
        <v>0</v>
      </c>
      <c r="AS32" s="114">
        <f t="shared" si="26"/>
        <v>0</v>
      </c>
      <c r="AT32" s="114">
        <f t="shared" si="6"/>
        <v>0</v>
      </c>
      <c r="AU32" s="114">
        <f t="shared" si="6"/>
        <v>0</v>
      </c>
      <c r="AV32" s="115">
        <f t="shared" si="6"/>
        <v>0</v>
      </c>
      <c r="AW32" s="106">
        <f t="shared" si="27"/>
        <v>0</v>
      </c>
      <c r="AX32" s="103">
        <f t="shared" si="28"/>
        <v>0</v>
      </c>
      <c r="AY32" s="85">
        <f t="shared" si="29"/>
        <v>0</v>
      </c>
      <c r="AZ32" s="145">
        <f t="shared" si="30"/>
        <v>0</v>
      </c>
      <c r="BA32" s="235">
        <f t="shared" si="31"/>
        <v>0</v>
      </c>
      <c r="BB32" s="86">
        <f t="shared" si="32"/>
        <v>0</v>
      </c>
      <c r="BC32" s="235">
        <f t="shared" si="33"/>
        <v>0</v>
      </c>
      <c r="BD32" s="146">
        <f t="shared" si="34"/>
        <v>0</v>
      </c>
      <c r="BE32" s="108">
        <f t="shared" si="35"/>
        <v>0</v>
      </c>
      <c r="BF32" s="86">
        <f t="shared" si="36"/>
        <v>0</v>
      </c>
      <c r="BG32" s="99">
        <f t="shared" si="37"/>
        <v>0</v>
      </c>
      <c r="BH32" s="135">
        <v>0</v>
      </c>
      <c r="BI32" s="106">
        <f t="shared" si="38"/>
        <v>0</v>
      </c>
      <c r="BJ32" s="103">
        <f t="shared" si="39"/>
        <v>0</v>
      </c>
      <c r="BK32" s="85">
        <f t="shared" si="40"/>
        <v>0</v>
      </c>
      <c r="BL32" s="86">
        <f>BK32/BK$33</f>
        <v>0</v>
      </c>
      <c r="BM32" s="235">
        <f t="shared" si="41"/>
        <v>0</v>
      </c>
      <c r="BN32" s="86">
        <f>BM32/BM$33</f>
        <v>0</v>
      </c>
      <c r="BO32" s="235">
        <f t="shared" si="42"/>
        <v>0</v>
      </c>
      <c r="BP32" s="88">
        <f>BO32/BO$33</f>
        <v>0</v>
      </c>
      <c r="BQ32" s="133">
        <f t="shared" si="43"/>
        <v>0</v>
      </c>
      <c r="BR32" s="114">
        <f t="shared" si="10"/>
        <v>0</v>
      </c>
      <c r="BS32" s="114">
        <f t="shared" si="11"/>
        <v>0</v>
      </c>
      <c r="BT32" s="114">
        <f t="shared" si="12"/>
        <v>0</v>
      </c>
      <c r="BU32" s="114">
        <f t="shared" si="13"/>
        <v>0</v>
      </c>
      <c r="BV32" s="114">
        <f t="shared" si="14"/>
        <v>0</v>
      </c>
      <c r="BW32" s="114">
        <f t="shared" si="15"/>
        <v>0</v>
      </c>
      <c r="BX32" s="114">
        <f t="shared" si="16"/>
        <v>0</v>
      </c>
      <c r="BY32" s="114">
        <f t="shared" si="17"/>
        <v>0</v>
      </c>
      <c r="BZ32" s="114">
        <f t="shared" si="18"/>
        <v>0</v>
      </c>
      <c r="CA32" s="114">
        <f t="shared" si="19"/>
        <v>0</v>
      </c>
      <c r="CB32" s="115">
        <f t="shared" si="20"/>
        <v>0</v>
      </c>
      <c r="CC32" s="93">
        <f t="shared" si="44"/>
        <v>0</v>
      </c>
      <c r="CD32" s="144">
        <f t="shared" si="45"/>
        <v>0</v>
      </c>
      <c r="CE32" s="145">
        <f t="shared" si="46"/>
        <v>0</v>
      </c>
      <c r="CF32" s="146">
        <f t="shared" si="47"/>
        <v>0</v>
      </c>
      <c r="CJ32" s="491">
        <f>SUM(BQ32:BS32)-SUM(AK32:AM32)</f>
        <v>0</v>
      </c>
      <c r="CK32" s="269">
        <f>SUM(BT32:BV32)-SUM(AN32:AP32)</f>
        <v>0</v>
      </c>
      <c r="CL32" s="269">
        <f>SUM(BW32:BY32)-SUM(AQ32:AS32)</f>
        <v>0</v>
      </c>
      <c r="CM32" s="269">
        <f>SUM(BZ32:CB32)-SUM(AT32:AV32)</f>
        <v>0</v>
      </c>
      <c r="CN32" s="492">
        <f t="shared" si="52"/>
        <v>0</v>
      </c>
    </row>
    <row r="33" spans="2:93" s="92" customFormat="1" ht="12" thickBot="1">
      <c r="B33" s="89" t="s">
        <v>104</v>
      </c>
      <c r="C33" s="89" t="s">
        <v>899</v>
      </c>
      <c r="D33" s="90">
        <f>SUM(D5:D32)</f>
        <v>20233.996999999996</v>
      </c>
      <c r="E33" s="117">
        <f>D33/D$33</f>
        <v>1</v>
      </c>
      <c r="F33" s="90">
        <f>SUM(F5:F32)</f>
        <v>2737.4340000000002</v>
      </c>
      <c r="G33" s="91">
        <f>F33/F$33</f>
        <v>1</v>
      </c>
      <c r="H33" s="90">
        <f>SUM(H5:H32)</f>
        <v>22971.431</v>
      </c>
      <c r="I33" s="91">
        <f t="shared" si="21"/>
        <v>1</v>
      </c>
      <c r="J33" s="90">
        <f>SUM(J5:J32)</f>
        <v>22929.897000000001</v>
      </c>
      <c r="K33" s="117">
        <f t="shared" si="2"/>
        <v>1</v>
      </c>
      <c r="L33" s="90">
        <f>SUM(L5:L32)</f>
        <v>1966.4640000000002</v>
      </c>
      <c r="M33" s="91">
        <f t="shared" si="3"/>
        <v>1</v>
      </c>
      <c r="N33" s="90">
        <f>SUM(N5:N32)</f>
        <v>24896.361000000012</v>
      </c>
      <c r="O33" s="117">
        <f t="shared" si="4"/>
        <v>1</v>
      </c>
      <c r="P33" s="117">
        <f t="shared" si="22"/>
        <v>0.13323615694911917</v>
      </c>
      <c r="Q33" s="117">
        <f t="shared" si="23"/>
        <v>-0.28163966692895603</v>
      </c>
      <c r="R33" s="117">
        <f t="shared" si="24"/>
        <v>8.3796695120996745E-2</v>
      </c>
      <c r="S33" s="90">
        <f>SUM(S5:S32)</f>
        <v>31295.570000000003</v>
      </c>
      <c r="T33" s="91">
        <f t="shared" si="25"/>
        <v>1</v>
      </c>
      <c r="U33" s="90">
        <f>SUM(U5:U32)</f>
        <v>4042.6599999999989</v>
      </c>
      <c r="V33" s="91">
        <f t="shared" si="25"/>
        <v>1</v>
      </c>
      <c r="W33" s="90">
        <f>SUM(W5:W32)</f>
        <v>35338.230000000003</v>
      </c>
      <c r="X33" s="91">
        <f>W33/W$33</f>
        <v>1</v>
      </c>
      <c r="Y33" s="90">
        <f t="shared" ref="Y33:AV33" si="54">SUM(Y5:Y32)</f>
        <v>2598.9839999999999</v>
      </c>
      <c r="Z33" s="90">
        <f t="shared" ref="Z33:AJ33" si="55">SUM(Z5:Z32)</f>
        <v>2377.011</v>
      </c>
      <c r="AA33" s="90">
        <f t="shared" si="55"/>
        <v>2647.6789999999996</v>
      </c>
      <c r="AB33" s="90">
        <f t="shared" si="55"/>
        <v>2652.5219999999999</v>
      </c>
      <c r="AC33" s="90">
        <f t="shared" si="55"/>
        <v>2655.3429999999998</v>
      </c>
      <c r="AD33" s="90">
        <f t="shared" si="55"/>
        <v>2493.346</v>
      </c>
      <c r="AE33" s="90">
        <f t="shared" si="55"/>
        <v>2506.9159999999997</v>
      </c>
      <c r="AF33" s="90">
        <f t="shared" si="55"/>
        <v>2302.1959999999995</v>
      </c>
      <c r="AG33" s="90">
        <f t="shared" si="55"/>
        <v>2555.6850000000009</v>
      </c>
      <c r="AH33" s="90">
        <f t="shared" si="55"/>
        <v>2926.0189999999993</v>
      </c>
      <c r="AI33" s="90">
        <f t="shared" si="55"/>
        <v>2838.2330000000002</v>
      </c>
      <c r="AJ33" s="90">
        <f t="shared" si="55"/>
        <v>2741.636</v>
      </c>
      <c r="AK33" s="90">
        <f t="shared" si="54"/>
        <v>2833.802000000001</v>
      </c>
      <c r="AL33" s="90">
        <f t="shared" si="54"/>
        <v>2832.2430000000004</v>
      </c>
      <c r="AM33" s="90">
        <f t="shared" si="54"/>
        <v>2985.5989999999997</v>
      </c>
      <c r="AN33" s="90">
        <f t="shared" si="54"/>
        <v>2852.7810000000009</v>
      </c>
      <c r="AO33" s="90">
        <f t="shared" si="54"/>
        <v>3022.527</v>
      </c>
      <c r="AP33" s="90">
        <f t="shared" si="54"/>
        <v>2837.9790000000003</v>
      </c>
      <c r="AQ33" s="90">
        <f t="shared" si="54"/>
        <v>2951.1590000000001</v>
      </c>
      <c r="AR33" s="90">
        <f t="shared" si="54"/>
        <v>2613.8069999999998</v>
      </c>
      <c r="AS33" s="90">
        <f t="shared" si="54"/>
        <v>2913.9496666666664</v>
      </c>
      <c r="AT33" s="90">
        <f t="shared" si="54"/>
        <v>2913.9496666666664</v>
      </c>
      <c r="AU33" s="90">
        <f t="shared" si="54"/>
        <v>2913.9496666666664</v>
      </c>
      <c r="AV33" s="90">
        <f t="shared" si="54"/>
        <v>2913.9496666666664</v>
      </c>
      <c r="AW33" s="91">
        <f t="shared" si="27"/>
        <v>8.5759827006636799E-2</v>
      </c>
      <c r="AX33" s="90"/>
      <c r="AY33" s="90">
        <f>SUM(AY5:AY32)</f>
        <v>34585.695666666674</v>
      </c>
      <c r="AZ33" s="117">
        <f t="shared" si="30"/>
        <v>1</v>
      </c>
      <c r="BA33" s="90">
        <f>SUM(BA5:BA32)</f>
        <v>2946.4911595905878</v>
      </c>
      <c r="BB33" s="91">
        <f t="shared" si="32"/>
        <v>1</v>
      </c>
      <c r="BC33" s="90">
        <f>SUM(BC5:BC32)</f>
        <v>37532.186826257253</v>
      </c>
      <c r="BD33" s="117">
        <f t="shared" si="34"/>
        <v>1</v>
      </c>
      <c r="BE33" s="117">
        <f t="shared" si="35"/>
        <v>0.10513071551873532</v>
      </c>
      <c r="BF33" s="117">
        <f t="shared" si="36"/>
        <v>-0.27115039118041373</v>
      </c>
      <c r="BG33" s="117">
        <f t="shared" si="37"/>
        <v>6.2084513747781012E-2</v>
      </c>
      <c r="BH33" s="136"/>
      <c r="BI33" s="91">
        <f t="shared" si="38"/>
        <v>8.5193924910129379E-2</v>
      </c>
      <c r="BJ33" s="90"/>
      <c r="BK33" s="90">
        <f>SUM(BK5:BK32)</f>
        <v>35024.718606038754</v>
      </c>
      <c r="BL33" s="91">
        <f>BK33/BK$33</f>
        <v>1</v>
      </c>
      <c r="BM33" s="90">
        <f>SUM(BM5:BM32)</f>
        <v>2920.3222753073428</v>
      </c>
      <c r="BN33" s="91">
        <f>BM33/BM$33</f>
        <v>1</v>
      </c>
      <c r="BO33" s="90">
        <f>SUM(BO5:BO32)</f>
        <v>37945.040881346089</v>
      </c>
      <c r="BP33" s="91">
        <f>BO33/BO$33</f>
        <v>1</v>
      </c>
      <c r="BQ33" s="90">
        <f t="shared" ref="BQ33:CB33" si="56">SUM(BQ5:BQ32)</f>
        <v>2848.9904683782456</v>
      </c>
      <c r="BR33" s="90">
        <f t="shared" si="56"/>
        <v>2850.7770332437203</v>
      </c>
      <c r="BS33" s="90">
        <f t="shared" si="56"/>
        <v>3015.5291036347271</v>
      </c>
      <c r="BT33" s="90">
        <f t="shared" si="56"/>
        <v>2886.8929989837252</v>
      </c>
      <c r="BU33" s="90">
        <f t="shared" si="56"/>
        <v>3060.7549998147847</v>
      </c>
      <c r="BV33" s="90">
        <f t="shared" si="56"/>
        <v>2881.6136050154</v>
      </c>
      <c r="BW33" s="90">
        <f t="shared" si="56"/>
        <v>3005.8230003321473</v>
      </c>
      <c r="BX33" s="90">
        <f t="shared" si="56"/>
        <v>2664.7816304113826</v>
      </c>
      <c r="BY33" s="90">
        <f t="shared" si="56"/>
        <v>2952.3889415561566</v>
      </c>
      <c r="BZ33" s="90">
        <f t="shared" si="56"/>
        <v>2952.3889415561566</v>
      </c>
      <c r="CA33" s="90">
        <f t="shared" si="56"/>
        <v>2952.3889415561566</v>
      </c>
      <c r="CB33" s="90">
        <f t="shared" si="56"/>
        <v>2952.3889415561566</v>
      </c>
      <c r="CD33" s="117">
        <f t="shared" si="45"/>
        <v>1.2693772119067193E-2</v>
      </c>
      <c r="CE33" s="117">
        <f t="shared" si="46"/>
        <v>-8.8813720679484787E-3</v>
      </c>
      <c r="CF33" s="297">
        <f t="shared" si="47"/>
        <v>1.1000000000000121E-2</v>
      </c>
      <c r="CH33" s="298">
        <f>'3. P y G PRESENTACION'!B44</f>
        <v>1001503.7314132266</v>
      </c>
      <c r="CI33" s="92" t="s">
        <v>308</v>
      </c>
      <c r="CJ33" s="90">
        <f>SUM(CJ5:CJ32)</f>
        <v>63.652605256693548</v>
      </c>
      <c r="CK33" s="90">
        <f>SUM(CK5:CK32)</f>
        <v>115.97460381390839</v>
      </c>
      <c r="CL33" s="90">
        <f>SUM(CL5:CL32)</f>
        <v>144.07790563301955</v>
      </c>
      <c r="CM33" s="90">
        <f>SUM(CM5:CM32)</f>
        <v>115.3178246684701</v>
      </c>
      <c r="CN33" s="492">
        <f t="shared" si="52"/>
        <v>4.1495695768389851E-12</v>
      </c>
    </row>
    <row r="34" spans="2:93">
      <c r="D34" s="93">
        <f>D33-D35</f>
        <v>0</v>
      </c>
      <c r="F34" s="93">
        <f>F33-F35</f>
        <v>0</v>
      </c>
      <c r="H34" s="93">
        <f>H33-H35</f>
        <v>0</v>
      </c>
      <c r="J34" s="93">
        <f>J33-J35</f>
        <v>0</v>
      </c>
      <c r="L34" s="93">
        <f>L33-L35</f>
        <v>0</v>
      </c>
      <c r="N34" s="93">
        <f>N33-N35</f>
        <v>0</v>
      </c>
      <c r="S34" s="93">
        <f>S33-S35</f>
        <v>0</v>
      </c>
      <c r="U34" s="93">
        <f>U33-U35</f>
        <v>0</v>
      </c>
      <c r="W34" s="93">
        <f>W33-W35</f>
        <v>0</v>
      </c>
      <c r="Y34" s="93"/>
      <c r="Z34" s="93"/>
      <c r="AA34" s="93"/>
      <c r="AB34" s="93"/>
      <c r="AC34" s="93"/>
      <c r="AD34" s="93"/>
      <c r="AE34" s="93"/>
      <c r="AF34" s="93"/>
      <c r="AG34" s="93"/>
      <c r="AH34" s="93"/>
      <c r="AI34" s="93"/>
      <c r="AJ34" s="93">
        <f>SUM(Y33:AJ33)-S33</f>
        <v>0</v>
      </c>
      <c r="AR34" s="93">
        <f>SUM(AK33:AR33)-J33</f>
        <v>0</v>
      </c>
      <c r="AY34" s="657">
        <f>AY33-SUM(AK33:AV33)</f>
        <v>0</v>
      </c>
      <c r="BC34" s="657">
        <f>BC33-AY33-BA33</f>
        <v>-8.1854523159563541E-12</v>
      </c>
      <c r="BX34" s="93"/>
      <c r="CD34" s="495">
        <v>1.7364806551006362E-2</v>
      </c>
      <c r="CE34" s="495">
        <v>1.0907754040363926E-2</v>
      </c>
      <c r="CF34" s="495">
        <v>1.0907754040363926E-2</v>
      </c>
    </row>
    <row r="35" spans="2:93">
      <c r="C35" s="576" t="s">
        <v>896</v>
      </c>
      <c r="D35" s="94">
        <v>20233.996999999999</v>
      </c>
      <c r="F35" s="94">
        <v>2737.4340000000002</v>
      </c>
      <c r="H35" s="94">
        <v>22971.431</v>
      </c>
      <c r="J35" s="94">
        <v>22929.897000000001</v>
      </c>
      <c r="L35" s="94">
        <v>1966.4639999999999</v>
      </c>
      <c r="N35" s="94">
        <v>24896.361000000001</v>
      </c>
      <c r="S35" s="94">
        <v>31295.57</v>
      </c>
      <c r="U35" s="94">
        <v>4042.6600000000003</v>
      </c>
      <c r="W35" s="94">
        <v>35338.230000000003</v>
      </c>
      <c r="BC35" s="491">
        <f>W33</f>
        <v>35338.230000000003</v>
      </c>
      <c r="BD35" s="118"/>
      <c r="BF35" s="118" t="s">
        <v>128</v>
      </c>
      <c r="BG35" s="147">
        <v>1</v>
      </c>
      <c r="BO35" s="491">
        <f>BC33</f>
        <v>37532.186826257253</v>
      </c>
      <c r="CE35" s="118" t="s">
        <v>916</v>
      </c>
      <c r="CF35" s="147">
        <v>0.43235197340220888</v>
      </c>
    </row>
    <row r="36" spans="2:93">
      <c r="C36" s="576" t="s">
        <v>897</v>
      </c>
      <c r="D36" s="94"/>
      <c r="F36" s="94"/>
      <c r="H36" s="94"/>
      <c r="J36" s="94"/>
      <c r="L36" s="94"/>
      <c r="N36" s="94"/>
      <c r="S36" s="94"/>
      <c r="U36" s="94"/>
      <c r="W36" s="94"/>
      <c r="BC36" s="491">
        <f>BC33-BC35</f>
        <v>2193.9568262572502</v>
      </c>
      <c r="BD36" s="118"/>
      <c r="BF36" s="118"/>
      <c r="BG36" s="575"/>
      <c r="BO36" s="491">
        <f>BO33-BO35</f>
        <v>412.85405508883559</v>
      </c>
      <c r="CE36" s="118"/>
      <c r="CF36" s="575"/>
    </row>
    <row r="37" spans="2:93">
      <c r="C37" s="576" t="s">
        <v>898</v>
      </c>
      <c r="D37" s="94"/>
      <c r="F37" s="94"/>
      <c r="H37" s="94"/>
      <c r="J37" s="94"/>
      <c r="L37" s="94"/>
      <c r="N37" s="94"/>
      <c r="S37" s="94"/>
      <c r="U37" s="94"/>
      <c r="W37" s="94"/>
      <c r="BC37" s="277">
        <f>BC36/BC35</f>
        <v>6.2084513747781088E-2</v>
      </c>
      <c r="BD37" s="118"/>
      <c r="BF37" s="118"/>
      <c r="BG37" s="575"/>
      <c r="BO37" s="277">
        <f>BO36/BO35</f>
        <v>1.1000000000000155E-2</v>
      </c>
      <c r="CE37" s="118"/>
      <c r="CF37" s="575"/>
    </row>
    <row r="39" spans="2:93">
      <c r="C39" s="76" t="s">
        <v>261</v>
      </c>
      <c r="D39" s="77">
        <f>SUM(D5:D22,D25:D32)</f>
        <v>20233.996999999996</v>
      </c>
      <c r="E39" s="78">
        <f>D39/D$33</f>
        <v>1</v>
      </c>
      <c r="F39" s="77">
        <f>SUM(F5:F22,F25:F32)</f>
        <v>2737.4340000000002</v>
      </c>
      <c r="G39" s="78">
        <f>F39/F$33</f>
        <v>1</v>
      </c>
      <c r="H39" s="77">
        <f>SUM(H5:H22,H25:H32)</f>
        <v>22971.431</v>
      </c>
      <c r="I39" s="80">
        <f>H39/H$33</f>
        <v>1</v>
      </c>
      <c r="J39" s="77">
        <f>SUM(J5:J22,J25:J32)</f>
        <v>16081.074999999997</v>
      </c>
      <c r="K39" s="78">
        <f>J39/J$33</f>
        <v>0.70131475078147953</v>
      </c>
      <c r="L39" s="77">
        <f>SUM(L5:L22,L25:L32)</f>
        <v>1966.4640000000002</v>
      </c>
      <c r="M39" s="78">
        <f>L39/L$33</f>
        <v>1</v>
      </c>
      <c r="N39" s="77">
        <f>SUM(N5:N22,N25:N32)</f>
        <v>18047.539000000012</v>
      </c>
      <c r="O39" s="80">
        <f>N39/N$33</f>
        <v>0.72490670423681614</v>
      </c>
      <c r="P39" s="78">
        <f>IFERROR(J39/D39-1,0)</f>
        <v>-0.20524476701266681</v>
      </c>
      <c r="Q39" s="78">
        <f>IFERROR(L39/F39-1,0)</f>
        <v>-0.28163966692895603</v>
      </c>
      <c r="R39" s="78">
        <f>IFERROR(N39/H39-1,0)</f>
        <v>-0.21434850967708496</v>
      </c>
      <c r="S39" s="77">
        <f>SUM(S5:S22,S25:S32)</f>
        <v>30066.312000000002</v>
      </c>
      <c r="T39" s="78">
        <f>S39/S$33</f>
        <v>0.96072102217662114</v>
      </c>
      <c r="U39" s="77">
        <f>SUM(U5:U22,U25:U32)</f>
        <v>4042.6599999999989</v>
      </c>
      <c r="V39" s="78">
        <f>U39/U$33</f>
        <v>1</v>
      </c>
      <c r="W39" s="77">
        <f>SUM(W5:W22,W25:W32)</f>
        <v>34108.972000000002</v>
      </c>
      <c r="X39" s="80">
        <f>W39/W$33</f>
        <v>0.96521449999052011</v>
      </c>
      <c r="Y39" s="77">
        <f t="shared" ref="Y39:AV39" si="57">SUM(Y5:Y22,Y25:Y32)</f>
        <v>2598.9839999999999</v>
      </c>
      <c r="Z39" s="77">
        <f t="shared" si="57"/>
        <v>2377.011</v>
      </c>
      <c r="AA39" s="77">
        <f t="shared" si="57"/>
        <v>2647.6789999999996</v>
      </c>
      <c r="AB39" s="77">
        <f t="shared" si="57"/>
        <v>2652.5219999999999</v>
      </c>
      <c r="AC39" s="77">
        <f t="shared" si="57"/>
        <v>2655.3429999999998</v>
      </c>
      <c r="AD39" s="77">
        <f t="shared" si="57"/>
        <v>2493.346</v>
      </c>
      <c r="AE39" s="77">
        <f t="shared" si="57"/>
        <v>2506.9159999999997</v>
      </c>
      <c r="AF39" s="77">
        <f t="shared" si="57"/>
        <v>2302.1959999999995</v>
      </c>
      <c r="AG39" s="77">
        <f t="shared" si="57"/>
        <v>2477.7030000000009</v>
      </c>
      <c r="AH39" s="77">
        <f t="shared" si="57"/>
        <v>2632.1109999999994</v>
      </c>
      <c r="AI39" s="77">
        <f t="shared" si="57"/>
        <v>2448.6120000000005</v>
      </c>
      <c r="AJ39" s="77">
        <f t="shared" si="57"/>
        <v>2273.8890000000001</v>
      </c>
      <c r="AK39" s="77">
        <f t="shared" si="57"/>
        <v>2265.3610000000008</v>
      </c>
      <c r="AL39" s="77">
        <f t="shared" si="57"/>
        <v>2050.6950000000006</v>
      </c>
      <c r="AM39" s="77">
        <f t="shared" si="57"/>
        <v>2104.0959999999995</v>
      </c>
      <c r="AN39" s="77">
        <f t="shared" si="57"/>
        <v>1968.94</v>
      </c>
      <c r="AO39" s="77">
        <f t="shared" si="57"/>
        <v>2051.7240000000002</v>
      </c>
      <c r="AP39" s="77">
        <f t="shared" si="57"/>
        <v>1936.3829999999998</v>
      </c>
      <c r="AQ39" s="77">
        <f t="shared" si="57"/>
        <v>1989.1970000000001</v>
      </c>
      <c r="AR39" s="77">
        <f t="shared" si="57"/>
        <v>1714.6790000000001</v>
      </c>
      <c r="AS39" s="77">
        <f t="shared" si="57"/>
        <v>2010.8979999999999</v>
      </c>
      <c r="AT39" s="77">
        <f t="shared" si="57"/>
        <v>2010.8979999999999</v>
      </c>
      <c r="AU39" s="77">
        <f t="shared" si="57"/>
        <v>2010.8979999999999</v>
      </c>
      <c r="AV39" s="77">
        <f t="shared" si="57"/>
        <v>2010.8979999999999</v>
      </c>
      <c r="AY39" s="77">
        <f>SUM(AY5:AY22,AY25:AY32)</f>
        <v>24124.667000000005</v>
      </c>
      <c r="AZ39" s="78">
        <f>AY39/AY$33</f>
        <v>0.69753308513759638</v>
      </c>
      <c r="BA39" s="77">
        <f>SUM(BA5:BA22,BA25:BA32)</f>
        <v>2946.4911595905878</v>
      </c>
      <c r="BB39" s="78">
        <f>BA39/BA$33</f>
        <v>1</v>
      </c>
      <c r="BC39" s="77">
        <f>SUM(BC5:BC22,BC25:BC32)</f>
        <v>27071.158159590595</v>
      </c>
      <c r="BD39" s="80">
        <f>BC39/BC$33</f>
        <v>0.72127846653080718</v>
      </c>
      <c r="BE39" s="107">
        <f>IFERROR(AY39/S39-1,0)</f>
        <v>-0.19761801846531746</v>
      </c>
      <c r="BF39" s="78">
        <f>IFERROR(BA39/U39-1,0)</f>
        <v>-0.27115039118041373</v>
      </c>
      <c r="BG39" s="98">
        <f>IFERROR(BC39/W39-1,0)</f>
        <v>-0.20633321462779375</v>
      </c>
      <c r="BK39" s="77">
        <f>SUM(BK5:BK22,BK25:BK32)</f>
        <v>24040.638506038758</v>
      </c>
      <c r="BL39" s="78">
        <f>BK39/BK$33</f>
        <v>0.68639062533092887</v>
      </c>
      <c r="BM39" s="77">
        <f>SUM(BM5:BM22,BM25:BM32)</f>
        <v>2920.3222753073428</v>
      </c>
      <c r="BN39" s="78">
        <f>BM39/BM$33</f>
        <v>1</v>
      </c>
      <c r="BO39" s="77">
        <f>SUM(BO5:BO22,BO25:BO32)</f>
        <v>26960.960781346104</v>
      </c>
      <c r="BP39" s="80">
        <f>BO39/BO$33</f>
        <v>0.7105265972871887</v>
      </c>
      <c r="BQ39" s="77">
        <f t="shared" ref="BQ39:CB39" si="58">SUM(BQ5:BQ22,BQ25:BQ32)</f>
        <v>2252.1274183782457</v>
      </c>
      <c r="BR39" s="79">
        <f t="shared" si="58"/>
        <v>2030.1516332437204</v>
      </c>
      <c r="BS39" s="79">
        <f t="shared" si="58"/>
        <v>2089.9509536347273</v>
      </c>
      <c r="BT39" s="79">
        <f t="shared" si="58"/>
        <v>1958.8599489837245</v>
      </c>
      <c r="BU39" s="79">
        <f t="shared" si="58"/>
        <v>2041.4118498147848</v>
      </c>
      <c r="BV39" s="79">
        <f t="shared" si="58"/>
        <v>1934.9378050153996</v>
      </c>
      <c r="BW39" s="79">
        <f t="shared" si="58"/>
        <v>1995.762900332147</v>
      </c>
      <c r="BX39" s="79">
        <f t="shared" si="58"/>
        <v>1720.6972304113829</v>
      </c>
      <c r="BY39" s="79">
        <f t="shared" si="58"/>
        <v>2004.1846915561564</v>
      </c>
      <c r="BZ39" s="79">
        <f t="shared" si="58"/>
        <v>2004.1846915561564</v>
      </c>
      <c r="CA39" s="79">
        <f t="shared" si="58"/>
        <v>2004.1846915561564</v>
      </c>
      <c r="CB39" s="156">
        <f t="shared" si="58"/>
        <v>2004.1846915561564</v>
      </c>
      <c r="CC39" s="93"/>
      <c r="CD39" s="100">
        <f>IFERROR(BX39/AR39-1,0)</f>
        <v>3.5098291933257642E-3</v>
      </c>
      <c r="CE39" s="78">
        <f>IFERROR(BZ39/AT39-1,0)</f>
        <v>-3.3384629373759411E-3</v>
      </c>
      <c r="CF39" s="80">
        <f>IFERROR(CB39/AV39-1,0)</f>
        <v>-3.3384629373759411E-3</v>
      </c>
    </row>
    <row r="40" spans="2:93">
      <c r="C40" s="76" t="s">
        <v>262</v>
      </c>
      <c r="D40" s="77">
        <f>D23</f>
        <v>0</v>
      </c>
      <c r="E40" s="78">
        <f>D40/D$33</f>
        <v>0</v>
      </c>
      <c r="F40" s="77">
        <f>F23</f>
        <v>0</v>
      </c>
      <c r="G40" s="78">
        <f>F40/F$33</f>
        <v>0</v>
      </c>
      <c r="H40" s="77">
        <f>H23</f>
        <v>0</v>
      </c>
      <c r="I40" s="80">
        <f>H40/H$33</f>
        <v>0</v>
      </c>
      <c r="J40" s="77">
        <f>J23</f>
        <v>3411.0819999999999</v>
      </c>
      <c r="K40" s="78">
        <f>J40/J$33</f>
        <v>0.14876133111282619</v>
      </c>
      <c r="L40" s="77">
        <f>L23</f>
        <v>0</v>
      </c>
      <c r="M40" s="78">
        <f>L40/L$33</f>
        <v>0</v>
      </c>
      <c r="N40" s="77">
        <f>N23</f>
        <v>3411.0819999999999</v>
      </c>
      <c r="O40" s="80">
        <f>N40/N$33</f>
        <v>0.13701126843396905</v>
      </c>
      <c r="P40" s="78">
        <f>IFERROR(J40/D40-1,0)</f>
        <v>0</v>
      </c>
      <c r="Q40" s="78">
        <f>IFERROR(L40/F40-1,0)</f>
        <v>0</v>
      </c>
      <c r="R40" s="78">
        <f>IFERROR(N40/H40-1,0)</f>
        <v>0</v>
      </c>
      <c r="S40" s="77">
        <f>S23</f>
        <v>1088.3579999999999</v>
      </c>
      <c r="T40" s="78">
        <f>S40/S$33</f>
        <v>3.4776743162051364E-2</v>
      </c>
      <c r="U40" s="77">
        <f>U23</f>
        <v>0</v>
      </c>
      <c r="V40" s="78">
        <f>U40/U$33</f>
        <v>0</v>
      </c>
      <c r="W40" s="77">
        <f>W23</f>
        <v>1088.3579999999999</v>
      </c>
      <c r="X40" s="80">
        <f>W40/W$33</f>
        <v>3.07983167238427E-2</v>
      </c>
      <c r="Y40" s="77">
        <f t="shared" ref="Y40:AV40" si="59">Y23</f>
        <v>0</v>
      </c>
      <c r="Z40" s="77">
        <f t="shared" si="59"/>
        <v>0</v>
      </c>
      <c r="AA40" s="77">
        <f t="shared" si="59"/>
        <v>0</v>
      </c>
      <c r="AB40" s="77">
        <f t="shared" si="59"/>
        <v>0</v>
      </c>
      <c r="AC40" s="77">
        <f t="shared" si="59"/>
        <v>0</v>
      </c>
      <c r="AD40" s="77">
        <f t="shared" si="59"/>
        <v>0</v>
      </c>
      <c r="AE40" s="77">
        <f t="shared" si="59"/>
        <v>0</v>
      </c>
      <c r="AF40" s="77">
        <f t="shared" si="59"/>
        <v>0</v>
      </c>
      <c r="AG40" s="77">
        <f t="shared" si="59"/>
        <v>77.981999999999999</v>
      </c>
      <c r="AH40" s="77">
        <f t="shared" si="59"/>
        <v>293.90800000000002</v>
      </c>
      <c r="AI40" s="77">
        <f t="shared" si="59"/>
        <v>379.452</v>
      </c>
      <c r="AJ40" s="77">
        <f t="shared" si="59"/>
        <v>337.01600000000002</v>
      </c>
      <c r="AK40" s="77">
        <f t="shared" si="59"/>
        <v>362.44</v>
      </c>
      <c r="AL40" s="77">
        <f t="shared" si="59"/>
        <v>438.57400000000001</v>
      </c>
      <c r="AM40" s="77">
        <f t="shared" si="59"/>
        <v>468.69900000000001</v>
      </c>
      <c r="AN40" s="77">
        <f t="shared" si="59"/>
        <v>460.33800000000002</v>
      </c>
      <c r="AO40" s="77">
        <f t="shared" si="59"/>
        <v>494.65300000000002</v>
      </c>
      <c r="AP40" s="77">
        <f t="shared" si="59"/>
        <v>414.90699999999998</v>
      </c>
      <c r="AQ40" s="77">
        <f t="shared" si="59"/>
        <v>403.46899999999999</v>
      </c>
      <c r="AR40" s="77">
        <f t="shared" si="59"/>
        <v>368.00200000000001</v>
      </c>
      <c r="AS40" s="77">
        <f t="shared" si="59"/>
        <v>465.56600000000003</v>
      </c>
      <c r="AT40" s="77">
        <f t="shared" si="59"/>
        <v>465.56600000000003</v>
      </c>
      <c r="AU40" s="77">
        <f t="shared" si="59"/>
        <v>465.56600000000003</v>
      </c>
      <c r="AV40" s="77">
        <f t="shared" si="59"/>
        <v>465.56600000000003</v>
      </c>
      <c r="AY40" s="77">
        <f>AY23</f>
        <v>5273.3459999999995</v>
      </c>
      <c r="AZ40" s="78">
        <f>AY40/AY$33</f>
        <v>0.15247187886066998</v>
      </c>
      <c r="BA40" s="77">
        <f>BA23</f>
        <v>0</v>
      </c>
      <c r="BB40" s="78">
        <f>BA40/BA$33</f>
        <v>0</v>
      </c>
      <c r="BC40" s="77">
        <f>BC23</f>
        <v>5273.3459999999995</v>
      </c>
      <c r="BD40" s="80">
        <f>BC40/BC$33</f>
        <v>0.14050196500436271</v>
      </c>
      <c r="BE40" s="107">
        <f>IFERROR(AY40/S40-1,0)</f>
        <v>3.8452310728638919</v>
      </c>
      <c r="BF40" s="78">
        <f>IFERROR(BA40/U40-1,0)</f>
        <v>0</v>
      </c>
      <c r="BG40" s="98">
        <f>IFERROR(BC40/W40-1,0)</f>
        <v>3.8452310728638919</v>
      </c>
      <c r="BK40" s="77">
        <f>BK23</f>
        <v>5537.0132999999996</v>
      </c>
      <c r="BL40" s="78">
        <f>BK40/BK$33</f>
        <v>0.15808873048434258</v>
      </c>
      <c r="BM40" s="77">
        <f>BM23</f>
        <v>0</v>
      </c>
      <c r="BN40" s="78">
        <f>BM40/BM$33</f>
        <v>0</v>
      </c>
      <c r="BO40" s="77">
        <f>BO23</f>
        <v>5537.0132999999996</v>
      </c>
      <c r="BP40" s="80">
        <f>BO40/BO$33</f>
        <v>0.14592192211135591</v>
      </c>
      <c r="BQ40" s="77">
        <f t="shared" ref="BQ40:CB40" si="60">BQ23</f>
        <v>380.56200000000001</v>
      </c>
      <c r="BR40" s="79">
        <f t="shared" si="60"/>
        <v>460.5027</v>
      </c>
      <c r="BS40" s="79">
        <f t="shared" si="60"/>
        <v>492.13395000000003</v>
      </c>
      <c r="BT40" s="79">
        <f t="shared" si="60"/>
        <v>483.35490000000004</v>
      </c>
      <c r="BU40" s="79">
        <f t="shared" si="60"/>
        <v>519.38565000000006</v>
      </c>
      <c r="BV40" s="79">
        <f t="shared" si="60"/>
        <v>435.65235000000001</v>
      </c>
      <c r="BW40" s="79">
        <f t="shared" si="60"/>
        <v>423.64245</v>
      </c>
      <c r="BX40" s="79">
        <f t="shared" si="60"/>
        <v>386.40210000000002</v>
      </c>
      <c r="BY40" s="79">
        <f t="shared" si="60"/>
        <v>488.84430000000003</v>
      </c>
      <c r="BZ40" s="79">
        <f t="shared" si="60"/>
        <v>488.84430000000003</v>
      </c>
      <c r="CA40" s="79">
        <f t="shared" si="60"/>
        <v>488.84430000000003</v>
      </c>
      <c r="CB40" s="156">
        <f t="shared" si="60"/>
        <v>488.84430000000003</v>
      </c>
      <c r="CC40" s="93"/>
      <c r="CD40" s="100">
        <f>IFERROR(BX40/AR40-1,0)</f>
        <v>5.0000000000000044E-2</v>
      </c>
      <c r="CE40" s="78">
        <f>IFERROR(BZ40/AT40-1,0)</f>
        <v>5.0000000000000044E-2</v>
      </c>
      <c r="CF40" s="80">
        <f>IFERROR(CB40/AV40-1,0)</f>
        <v>5.0000000000000044E-2</v>
      </c>
    </row>
    <row r="41" spans="2:93">
      <c r="C41" s="76" t="s">
        <v>263</v>
      </c>
      <c r="D41" s="77">
        <f>D24</f>
        <v>0</v>
      </c>
      <c r="E41" s="78">
        <f>D41/D$33</f>
        <v>0</v>
      </c>
      <c r="F41" s="77">
        <f>F24</f>
        <v>0</v>
      </c>
      <c r="G41" s="78">
        <f>F41/F$33</f>
        <v>0</v>
      </c>
      <c r="H41" s="77">
        <f>H24</f>
        <v>0</v>
      </c>
      <c r="I41" s="80">
        <f>H41/H$33</f>
        <v>0</v>
      </c>
      <c r="J41" s="77">
        <f>J24</f>
        <v>3437.74</v>
      </c>
      <c r="K41" s="78">
        <f>J41/J$33</f>
        <v>0.14992391810569405</v>
      </c>
      <c r="L41" s="77">
        <f>L24</f>
        <v>0</v>
      </c>
      <c r="M41" s="78">
        <f>L41/L$33</f>
        <v>0</v>
      </c>
      <c r="N41" s="77">
        <f>N24</f>
        <v>3437.74</v>
      </c>
      <c r="O41" s="80">
        <f>N41/N$33</f>
        <v>0.13808202732921482</v>
      </c>
      <c r="P41" s="78">
        <f>IFERROR(J41/D41-1,0)</f>
        <v>0</v>
      </c>
      <c r="Q41" s="78">
        <f>IFERROR(L41/F41-1,0)</f>
        <v>0</v>
      </c>
      <c r="R41" s="78">
        <f>IFERROR(N41/H41-1,0)</f>
        <v>0</v>
      </c>
      <c r="S41" s="77">
        <f>S24</f>
        <v>140.9</v>
      </c>
      <c r="T41" s="78">
        <f>S41/S$33</f>
        <v>4.5022346613274658E-3</v>
      </c>
      <c r="U41" s="77">
        <f>U24</f>
        <v>0</v>
      </c>
      <c r="V41" s="78">
        <f>U41/U$33</f>
        <v>0</v>
      </c>
      <c r="W41" s="77">
        <f>W24</f>
        <v>140.9</v>
      </c>
      <c r="X41" s="80">
        <f>W41/W$33</f>
        <v>3.987183285637113E-3</v>
      </c>
      <c r="Y41" s="77">
        <f t="shared" ref="Y41:AV41" si="61">Y24</f>
        <v>0</v>
      </c>
      <c r="Z41" s="77">
        <f t="shared" si="61"/>
        <v>0</v>
      </c>
      <c r="AA41" s="77">
        <f t="shared" si="61"/>
        <v>0</v>
      </c>
      <c r="AB41" s="77">
        <f t="shared" si="61"/>
        <v>0</v>
      </c>
      <c r="AC41" s="77">
        <f t="shared" si="61"/>
        <v>0</v>
      </c>
      <c r="AD41" s="77">
        <f t="shared" si="61"/>
        <v>0</v>
      </c>
      <c r="AE41" s="77">
        <f t="shared" si="61"/>
        <v>0</v>
      </c>
      <c r="AF41" s="77">
        <f t="shared" si="61"/>
        <v>0</v>
      </c>
      <c r="AG41" s="77">
        <f t="shared" si="61"/>
        <v>0</v>
      </c>
      <c r="AH41" s="77">
        <f t="shared" si="61"/>
        <v>0</v>
      </c>
      <c r="AI41" s="77">
        <f t="shared" si="61"/>
        <v>10.169</v>
      </c>
      <c r="AJ41" s="77">
        <f t="shared" si="61"/>
        <v>130.73099999999999</v>
      </c>
      <c r="AK41" s="77">
        <f t="shared" si="61"/>
        <v>206.001</v>
      </c>
      <c r="AL41" s="77">
        <f t="shared" si="61"/>
        <v>342.97399999999999</v>
      </c>
      <c r="AM41" s="77">
        <f t="shared" si="61"/>
        <v>412.80399999999997</v>
      </c>
      <c r="AN41" s="77">
        <f t="shared" si="61"/>
        <v>423.50299999999999</v>
      </c>
      <c r="AO41" s="77">
        <f t="shared" si="61"/>
        <v>476.15</v>
      </c>
      <c r="AP41" s="77">
        <f t="shared" si="61"/>
        <v>486.68900000000002</v>
      </c>
      <c r="AQ41" s="77">
        <f t="shared" si="61"/>
        <v>558.49300000000005</v>
      </c>
      <c r="AR41" s="77">
        <f t="shared" si="61"/>
        <v>531.12599999999998</v>
      </c>
      <c r="AS41" s="77">
        <f t="shared" si="61"/>
        <v>437.48566666666665</v>
      </c>
      <c r="AT41" s="77">
        <f t="shared" si="61"/>
        <v>437.48566666666665</v>
      </c>
      <c r="AU41" s="77">
        <f t="shared" si="61"/>
        <v>437.48566666666665</v>
      </c>
      <c r="AV41" s="77">
        <f t="shared" si="61"/>
        <v>437.48566666666665</v>
      </c>
      <c r="AY41" s="77">
        <f>AY24</f>
        <v>5187.6826666666657</v>
      </c>
      <c r="AZ41" s="78">
        <f>AY41/AY$33</f>
        <v>0.1499950360017335</v>
      </c>
      <c r="BA41" s="77">
        <f>BA24</f>
        <v>0</v>
      </c>
      <c r="BB41" s="78">
        <f>BA41/BA$33</f>
        <v>0</v>
      </c>
      <c r="BC41" s="77">
        <f>BC24</f>
        <v>5187.6826666666657</v>
      </c>
      <c r="BD41" s="80">
        <f>BC41/BC$33</f>
        <v>0.13821956846483027</v>
      </c>
      <c r="BE41" s="107">
        <f>IFERROR(AY41/S41-1,0)</f>
        <v>35.818187840075694</v>
      </c>
      <c r="BF41" s="78">
        <f>IFERROR(BA41/U41-1,0)</f>
        <v>0</v>
      </c>
      <c r="BG41" s="98">
        <f>IFERROR(BC41/W41-1,0)</f>
        <v>35.818187840075694</v>
      </c>
      <c r="BK41" s="77">
        <f>BK24</f>
        <v>5447.0667999999996</v>
      </c>
      <c r="BL41" s="78">
        <f>BK41/BK$33</f>
        <v>0.15552064418472869</v>
      </c>
      <c r="BM41" s="77">
        <f>BM24</f>
        <v>0</v>
      </c>
      <c r="BN41" s="78">
        <f>BM41/BM$33</f>
        <v>0</v>
      </c>
      <c r="BO41" s="77">
        <f>BO24</f>
        <v>5447.0667999999996</v>
      </c>
      <c r="BP41" s="80">
        <f>BO41/BO$33</f>
        <v>0.14355148060145578</v>
      </c>
      <c r="BQ41" s="77">
        <f t="shared" ref="BQ41:CB41" si="62">BQ24</f>
        <v>216.30105</v>
      </c>
      <c r="BR41" s="79">
        <f t="shared" si="62"/>
        <v>360.12270000000001</v>
      </c>
      <c r="BS41" s="79">
        <f t="shared" si="62"/>
        <v>433.44419999999997</v>
      </c>
      <c r="BT41" s="79">
        <f t="shared" si="62"/>
        <v>444.67815000000002</v>
      </c>
      <c r="BU41" s="79">
        <f t="shared" si="62"/>
        <v>499.95749999999998</v>
      </c>
      <c r="BV41" s="79">
        <f t="shared" si="62"/>
        <v>511.02345000000003</v>
      </c>
      <c r="BW41" s="79">
        <f t="shared" si="62"/>
        <v>586.41765000000009</v>
      </c>
      <c r="BX41" s="79">
        <f t="shared" si="62"/>
        <v>557.68230000000005</v>
      </c>
      <c r="BY41" s="79">
        <f t="shared" si="62"/>
        <v>459.35994999999997</v>
      </c>
      <c r="BZ41" s="79">
        <f t="shared" si="62"/>
        <v>459.35994999999997</v>
      </c>
      <c r="CA41" s="79">
        <f t="shared" si="62"/>
        <v>459.35994999999997</v>
      </c>
      <c r="CB41" s="156">
        <f t="shared" si="62"/>
        <v>459.35994999999997</v>
      </c>
      <c r="CC41" s="93"/>
      <c r="CD41" s="100">
        <f>IFERROR(BX41/AR41-1,0)</f>
        <v>5.0000000000000044E-2</v>
      </c>
      <c r="CE41" s="78">
        <f>IFERROR(BZ41/AT41-1,0)</f>
        <v>5.0000000000000044E-2</v>
      </c>
      <c r="CF41" s="80">
        <f>IFERROR(CB41/AV41-1,0)</f>
        <v>5.0000000000000044E-2</v>
      </c>
    </row>
    <row r="42" spans="2:93" s="18" customFormat="1">
      <c r="C42" s="89" t="s">
        <v>104</v>
      </c>
      <c r="D42" s="90">
        <f>SUM(D39:D41)</f>
        <v>20233.996999999996</v>
      </c>
      <c r="E42" s="154">
        <f>D42/D$33</f>
        <v>1</v>
      </c>
      <c r="F42" s="90">
        <f>SUM(F39:F41)</f>
        <v>2737.4340000000002</v>
      </c>
      <c r="G42" s="154">
        <f>F42/F$33</f>
        <v>1</v>
      </c>
      <c r="H42" s="90">
        <f>SUM(H39:H41)</f>
        <v>22971.431</v>
      </c>
      <c r="I42" s="154">
        <f>H42/H$33</f>
        <v>1</v>
      </c>
      <c r="J42" s="90">
        <f>SUM(J39:J41)</f>
        <v>22929.896999999997</v>
      </c>
      <c r="K42" s="154">
        <f>J42/J$33</f>
        <v>0.99999999999999989</v>
      </c>
      <c r="L42" s="90">
        <f>SUM(L39:L41)</f>
        <v>1966.4640000000002</v>
      </c>
      <c r="M42" s="154">
        <f>L42/L$33</f>
        <v>1</v>
      </c>
      <c r="N42" s="90">
        <f>SUM(N39:N41)</f>
        <v>24896.361000000012</v>
      </c>
      <c r="O42" s="154">
        <f>N42/N$33</f>
        <v>1</v>
      </c>
      <c r="P42" s="155">
        <f>IFERROR(J42/D42-1,0)</f>
        <v>0.13323615694911894</v>
      </c>
      <c r="Q42" s="155">
        <f>IFERROR(L42/F42-1,0)</f>
        <v>-0.28163966692895603</v>
      </c>
      <c r="R42" s="155">
        <f>IFERROR(N42/H42-1,0)</f>
        <v>8.3796695120996745E-2</v>
      </c>
      <c r="S42" s="90">
        <f>SUM(S39:S41)</f>
        <v>31295.570000000003</v>
      </c>
      <c r="T42" s="154">
        <f>S42/S$33</f>
        <v>1</v>
      </c>
      <c r="U42" s="90">
        <f>SUM(U39:U41)</f>
        <v>4042.6599999999989</v>
      </c>
      <c r="V42" s="154">
        <f>U42/U$33</f>
        <v>1</v>
      </c>
      <c r="W42" s="90">
        <f>SUM(W39:W41)</f>
        <v>35338.230000000003</v>
      </c>
      <c r="X42" s="154">
        <f>W42/W$33</f>
        <v>1</v>
      </c>
      <c r="Y42" s="90">
        <f t="shared" ref="Y42:AV42" si="63">SUM(Y39:Y41)</f>
        <v>2598.9839999999999</v>
      </c>
      <c r="Z42" s="90">
        <f t="shared" si="63"/>
        <v>2377.011</v>
      </c>
      <c r="AA42" s="90">
        <f t="shared" si="63"/>
        <v>2647.6789999999996</v>
      </c>
      <c r="AB42" s="90">
        <f t="shared" si="63"/>
        <v>2652.5219999999999</v>
      </c>
      <c r="AC42" s="90">
        <f t="shared" si="63"/>
        <v>2655.3429999999998</v>
      </c>
      <c r="AD42" s="90">
        <f t="shared" si="63"/>
        <v>2493.346</v>
      </c>
      <c r="AE42" s="90">
        <f t="shared" si="63"/>
        <v>2506.9159999999997</v>
      </c>
      <c r="AF42" s="90">
        <f t="shared" si="63"/>
        <v>2302.1959999999995</v>
      </c>
      <c r="AG42" s="90">
        <f t="shared" si="63"/>
        <v>2555.6850000000009</v>
      </c>
      <c r="AH42" s="90">
        <f t="shared" si="63"/>
        <v>2926.0189999999993</v>
      </c>
      <c r="AI42" s="90">
        <f t="shared" si="63"/>
        <v>2838.2330000000002</v>
      </c>
      <c r="AJ42" s="90">
        <f t="shared" si="63"/>
        <v>2741.6360000000004</v>
      </c>
      <c r="AK42" s="90">
        <f t="shared" si="63"/>
        <v>2833.802000000001</v>
      </c>
      <c r="AL42" s="90">
        <f t="shared" si="63"/>
        <v>2832.2430000000008</v>
      </c>
      <c r="AM42" s="90">
        <f t="shared" si="63"/>
        <v>2985.5989999999997</v>
      </c>
      <c r="AN42" s="90">
        <f t="shared" si="63"/>
        <v>2852.7810000000004</v>
      </c>
      <c r="AO42" s="90">
        <f t="shared" si="63"/>
        <v>3022.5270000000005</v>
      </c>
      <c r="AP42" s="90">
        <f t="shared" si="63"/>
        <v>2837.9789999999998</v>
      </c>
      <c r="AQ42" s="90">
        <f t="shared" si="63"/>
        <v>2951.1590000000001</v>
      </c>
      <c r="AR42" s="90">
        <f t="shared" si="63"/>
        <v>2613.8069999999998</v>
      </c>
      <c r="AS42" s="90">
        <f t="shared" si="63"/>
        <v>2913.9496666666664</v>
      </c>
      <c r="AT42" s="90">
        <f t="shared" si="63"/>
        <v>2913.9496666666664</v>
      </c>
      <c r="AU42" s="90">
        <f t="shared" si="63"/>
        <v>2913.9496666666664</v>
      </c>
      <c r="AV42" s="90">
        <f t="shared" si="63"/>
        <v>2913.9496666666664</v>
      </c>
      <c r="AW42" s="17"/>
      <c r="AX42" s="17"/>
      <c r="AY42" s="90">
        <f>SUM(AY39:AY41)</f>
        <v>34585.695666666674</v>
      </c>
      <c r="AZ42" s="154">
        <f>AY42/AY$33</f>
        <v>1</v>
      </c>
      <c r="BA42" s="90">
        <f>SUM(BA39:BA41)</f>
        <v>2946.4911595905878</v>
      </c>
      <c r="BB42" s="154">
        <f>BA42/BA$33</f>
        <v>1</v>
      </c>
      <c r="BC42" s="90">
        <f>SUM(BC39:BC41)</f>
        <v>37532.186826257261</v>
      </c>
      <c r="BD42" s="154">
        <f>BC42/BC$33</f>
        <v>1.0000000000000002</v>
      </c>
      <c r="BE42" s="155">
        <f>IFERROR(AY42/S42-1,0)</f>
        <v>0.10513071551873532</v>
      </c>
      <c r="BF42" s="155">
        <f>IFERROR(BA42/U42-1,0)</f>
        <v>-0.27115039118041373</v>
      </c>
      <c r="BG42" s="155">
        <f>IFERROR(BC42/W42-1,0)</f>
        <v>6.2084513747781234E-2</v>
      </c>
      <c r="BH42" s="17"/>
      <c r="BI42" s="17"/>
      <c r="BJ42" s="17"/>
      <c r="BK42" s="90">
        <f>SUM(BK39:BK41)</f>
        <v>35024.718606038754</v>
      </c>
      <c r="BL42" s="154">
        <f>BK42/BK$33</f>
        <v>1</v>
      </c>
      <c r="BM42" s="90">
        <f>SUM(BM39:BM41)</f>
        <v>2920.3222753073428</v>
      </c>
      <c r="BN42" s="154">
        <f>BM42/BM$33</f>
        <v>1</v>
      </c>
      <c r="BO42" s="90">
        <f>SUM(BO39:BO41)</f>
        <v>37945.040881346104</v>
      </c>
      <c r="BP42" s="154">
        <f>BO42/BO$33</f>
        <v>1.0000000000000004</v>
      </c>
      <c r="BQ42" s="148">
        <f t="shared" ref="BQ42:CB42" si="64">SUM(BQ39:BQ41)</f>
        <v>2848.9904683782456</v>
      </c>
      <c r="BR42" s="148">
        <f t="shared" si="64"/>
        <v>2850.7770332437203</v>
      </c>
      <c r="BS42" s="148">
        <f t="shared" si="64"/>
        <v>3015.5291036347271</v>
      </c>
      <c r="BT42" s="148">
        <f t="shared" si="64"/>
        <v>2886.8929989837247</v>
      </c>
      <c r="BU42" s="148">
        <f t="shared" si="64"/>
        <v>3060.7549998147847</v>
      </c>
      <c r="BV42" s="148">
        <f t="shared" si="64"/>
        <v>2881.6136050153996</v>
      </c>
      <c r="BW42" s="148">
        <f t="shared" si="64"/>
        <v>3005.8230003321469</v>
      </c>
      <c r="BX42" s="148">
        <f t="shared" si="64"/>
        <v>2664.7816304113826</v>
      </c>
      <c r="BY42" s="148">
        <f t="shared" si="64"/>
        <v>2952.3889415561566</v>
      </c>
      <c r="BZ42" s="148">
        <f t="shared" si="64"/>
        <v>2952.3889415561566</v>
      </c>
      <c r="CA42" s="148">
        <f t="shared" si="64"/>
        <v>2952.3889415561566</v>
      </c>
      <c r="CB42" s="148">
        <f t="shared" si="64"/>
        <v>2952.3889415561566</v>
      </c>
      <c r="CD42" s="155">
        <f>IFERROR(BX42/AR42-1,0)</f>
        <v>1.950206362267104E-2</v>
      </c>
      <c r="CE42" s="155">
        <f>IFERROR(BZ42/AT42-1,0)</f>
        <v>1.3191468380255866E-2</v>
      </c>
      <c r="CF42" s="155">
        <f>IFERROR(CB42/AV42-1,0)</f>
        <v>1.3191468380255866E-2</v>
      </c>
      <c r="CK42" s="148"/>
      <c r="CL42" s="148"/>
      <c r="CM42" s="148"/>
      <c r="CN42" s="148"/>
      <c r="CO42" s="148"/>
    </row>
    <row r="43" spans="2:93" ht="12" thickBot="1">
      <c r="C43" s="89"/>
      <c r="D43" s="93">
        <f>D42-D33</f>
        <v>0</v>
      </c>
      <c r="E43" s="93">
        <f t="shared" ref="E43:BP43" si="65">E42-E33</f>
        <v>0</v>
      </c>
      <c r="F43" s="93">
        <f t="shared" si="65"/>
        <v>0</v>
      </c>
      <c r="G43" s="93">
        <f t="shared" si="65"/>
        <v>0</v>
      </c>
      <c r="H43" s="93">
        <f t="shared" si="65"/>
        <v>0</v>
      </c>
      <c r="I43" s="93">
        <f t="shared" si="65"/>
        <v>0</v>
      </c>
      <c r="J43" s="93">
        <f t="shared" si="65"/>
        <v>0</v>
      </c>
      <c r="K43" s="93">
        <f t="shared" si="65"/>
        <v>0</v>
      </c>
      <c r="L43" s="93">
        <f t="shared" si="65"/>
        <v>0</v>
      </c>
      <c r="M43" s="93">
        <f t="shared" si="65"/>
        <v>0</v>
      </c>
      <c r="N43" s="93">
        <f t="shared" si="65"/>
        <v>0</v>
      </c>
      <c r="O43" s="93">
        <f t="shared" si="65"/>
        <v>0</v>
      </c>
      <c r="P43" s="93">
        <f t="shared" si="65"/>
        <v>-2.2204460492503131E-16</v>
      </c>
      <c r="Q43" s="93">
        <f t="shared" si="65"/>
        <v>0</v>
      </c>
      <c r="R43" s="93">
        <f t="shared" si="65"/>
        <v>0</v>
      </c>
      <c r="S43" s="93">
        <f t="shared" si="65"/>
        <v>0</v>
      </c>
      <c r="T43" s="93">
        <f t="shared" si="65"/>
        <v>0</v>
      </c>
      <c r="U43" s="93">
        <f t="shared" si="65"/>
        <v>0</v>
      </c>
      <c r="V43" s="93">
        <f t="shared" si="65"/>
        <v>0</v>
      </c>
      <c r="W43" s="93">
        <f t="shared" si="65"/>
        <v>0</v>
      </c>
      <c r="X43" s="93">
        <f t="shared" si="65"/>
        <v>0</v>
      </c>
      <c r="Y43" s="93">
        <f t="shared" si="65"/>
        <v>0</v>
      </c>
      <c r="Z43" s="93">
        <f t="shared" si="65"/>
        <v>0</v>
      </c>
      <c r="AA43" s="93">
        <f t="shared" si="65"/>
        <v>0</v>
      </c>
      <c r="AB43" s="93">
        <f t="shared" si="65"/>
        <v>0</v>
      </c>
      <c r="AC43" s="93">
        <f t="shared" si="65"/>
        <v>0</v>
      </c>
      <c r="AD43" s="93">
        <f t="shared" si="65"/>
        <v>0</v>
      </c>
      <c r="AE43" s="93">
        <f t="shared" si="65"/>
        <v>0</v>
      </c>
      <c r="AF43" s="93">
        <f t="shared" si="65"/>
        <v>0</v>
      </c>
      <c r="AG43" s="93">
        <f t="shared" si="65"/>
        <v>0</v>
      </c>
      <c r="AH43" s="93">
        <f t="shared" si="65"/>
        <v>0</v>
      </c>
      <c r="AI43" s="93">
        <f t="shared" si="65"/>
        <v>0</v>
      </c>
      <c r="AJ43" s="93">
        <f t="shared" si="65"/>
        <v>0</v>
      </c>
      <c r="AK43" s="93">
        <f t="shared" si="65"/>
        <v>0</v>
      </c>
      <c r="AL43" s="93">
        <f t="shared" si="65"/>
        <v>0</v>
      </c>
      <c r="AM43" s="93">
        <f t="shared" si="65"/>
        <v>0</v>
      </c>
      <c r="AN43" s="93">
        <f t="shared" si="65"/>
        <v>0</v>
      </c>
      <c r="AO43" s="93">
        <f t="shared" si="65"/>
        <v>0</v>
      </c>
      <c r="AP43" s="93">
        <f t="shared" si="65"/>
        <v>0</v>
      </c>
      <c r="AQ43" s="93">
        <f t="shared" si="65"/>
        <v>0</v>
      </c>
      <c r="AR43" s="93">
        <f t="shared" si="65"/>
        <v>0</v>
      </c>
      <c r="AS43" s="93">
        <f t="shared" si="65"/>
        <v>0</v>
      </c>
      <c r="AT43" s="93">
        <f t="shared" si="65"/>
        <v>0</v>
      </c>
      <c r="AU43" s="93">
        <f t="shared" si="65"/>
        <v>0</v>
      </c>
      <c r="AV43" s="93">
        <f t="shared" si="65"/>
        <v>0</v>
      </c>
      <c r="AY43" s="93">
        <f t="shared" si="65"/>
        <v>0</v>
      </c>
      <c r="AZ43" s="93">
        <f t="shared" si="65"/>
        <v>0</v>
      </c>
      <c r="BA43" s="93">
        <f t="shared" si="65"/>
        <v>0</v>
      </c>
      <c r="BB43" s="93">
        <f t="shared" si="65"/>
        <v>0</v>
      </c>
      <c r="BC43" s="93">
        <f t="shared" si="65"/>
        <v>0</v>
      </c>
      <c r="BD43" s="93">
        <f t="shared" si="65"/>
        <v>0</v>
      </c>
      <c r="BE43" s="93">
        <f t="shared" si="65"/>
        <v>0</v>
      </c>
      <c r="BF43" s="93">
        <f t="shared" si="65"/>
        <v>0</v>
      </c>
      <c r="BG43" s="93">
        <f t="shared" si="65"/>
        <v>2.2204460492503131E-16</v>
      </c>
      <c r="BK43" s="93">
        <f t="shared" si="65"/>
        <v>0</v>
      </c>
      <c r="BL43" s="93">
        <f t="shared" si="65"/>
        <v>0</v>
      </c>
      <c r="BM43" s="93">
        <f t="shared" si="65"/>
        <v>0</v>
      </c>
      <c r="BN43" s="93">
        <f t="shared" si="65"/>
        <v>0</v>
      </c>
      <c r="BO43" s="93">
        <f t="shared" si="65"/>
        <v>0</v>
      </c>
      <c r="BP43" s="93">
        <f t="shared" si="65"/>
        <v>0</v>
      </c>
      <c r="BQ43" s="93">
        <f t="shared" ref="BQ43:CF43" si="66">BQ42-BQ33</f>
        <v>0</v>
      </c>
      <c r="BR43" s="93">
        <f t="shared" si="66"/>
        <v>0</v>
      </c>
      <c r="BS43" s="93">
        <f t="shared" si="66"/>
        <v>0</v>
      </c>
      <c r="BT43" s="93">
        <f t="shared" si="66"/>
        <v>0</v>
      </c>
      <c r="BU43" s="93">
        <f t="shared" si="66"/>
        <v>0</v>
      </c>
      <c r="BV43" s="93">
        <f t="shared" si="66"/>
        <v>0</v>
      </c>
      <c r="BW43" s="93">
        <f t="shared" si="66"/>
        <v>0</v>
      </c>
      <c r="BX43" s="93">
        <f t="shared" si="66"/>
        <v>0</v>
      </c>
      <c r="BY43" s="93">
        <f t="shared" si="66"/>
        <v>0</v>
      </c>
      <c r="BZ43" s="93">
        <f t="shared" si="66"/>
        <v>0</v>
      </c>
      <c r="CA43" s="93">
        <f t="shared" si="66"/>
        <v>0</v>
      </c>
      <c r="CB43" s="93">
        <f t="shared" si="66"/>
        <v>0</v>
      </c>
      <c r="CC43" s="93">
        <f t="shared" si="66"/>
        <v>0</v>
      </c>
      <c r="CD43" s="93">
        <f t="shared" si="66"/>
        <v>6.8082915036038472E-3</v>
      </c>
      <c r="CE43" s="93">
        <f t="shared" si="66"/>
        <v>2.2072840448204345E-2</v>
      </c>
      <c r="CF43" s="93">
        <f t="shared" si="66"/>
        <v>2.1914683802557455E-3</v>
      </c>
    </row>
    <row r="44" spans="2:93" ht="13.5" thickBot="1">
      <c r="BH44" s="394" t="s">
        <v>346</v>
      </c>
      <c r="BI44" s="392"/>
      <c r="BJ44" s="392"/>
      <c r="BK44" s="392"/>
      <c r="BL44" s="392"/>
      <c r="BM44" s="392"/>
      <c r="BN44" s="392"/>
      <c r="BO44" s="392"/>
      <c r="BP44" s="392"/>
      <c r="BQ44" s="392"/>
      <c r="BR44" s="392"/>
      <c r="BS44" s="392"/>
      <c r="BT44" s="392"/>
      <c r="BU44" s="392"/>
      <c r="BV44" s="392"/>
      <c r="BW44" s="392"/>
      <c r="BX44" s="392"/>
      <c r="BY44" s="392"/>
      <c r="BZ44" s="392"/>
      <c r="CA44" s="392"/>
      <c r="CB44" s="392"/>
      <c r="CC44" s="392"/>
      <c r="CD44" s="395" t="e">
        <f>BK146</f>
        <v>#REF!</v>
      </c>
      <c r="CE44" s="395" t="e">
        <f>BK147</f>
        <v>#REF!</v>
      </c>
      <c r="CF44" s="393"/>
    </row>
    <row r="45" spans="2:93" ht="12" thickBot="1">
      <c r="B45" s="54" t="s">
        <v>112</v>
      </c>
      <c r="C45" s="55" t="s">
        <v>113</v>
      </c>
      <c r="J45" s="150" t="s">
        <v>258</v>
      </c>
      <c r="K45" s="217" t="s">
        <v>329</v>
      </c>
      <c r="AS45" s="151" t="s">
        <v>258</v>
      </c>
      <c r="AT45" s="151" t="s">
        <v>258</v>
      </c>
      <c r="AU45" s="151" t="s">
        <v>258</v>
      </c>
      <c r="AV45" s="151" t="s">
        <v>258</v>
      </c>
      <c r="AW45" s="217" t="s">
        <v>329</v>
      </c>
      <c r="AY45" s="151" t="s">
        <v>258</v>
      </c>
      <c r="AZ45" s="217" t="s">
        <v>329</v>
      </c>
      <c r="BK45" s="390" t="s">
        <v>258</v>
      </c>
      <c r="BL45" s="217" t="s">
        <v>329</v>
      </c>
      <c r="BQ45" s="391" t="s">
        <v>258</v>
      </c>
      <c r="BR45" s="391" t="s">
        <v>258</v>
      </c>
      <c r="BS45" s="391" t="s">
        <v>258</v>
      </c>
      <c r="BT45" s="391" t="s">
        <v>258</v>
      </c>
      <c r="BU45" s="391" t="s">
        <v>258</v>
      </c>
      <c r="BV45" s="391" t="s">
        <v>258</v>
      </c>
      <c r="BW45" s="391" t="s">
        <v>258</v>
      </c>
      <c r="BX45" s="391" t="s">
        <v>258</v>
      </c>
      <c r="BY45" s="391" t="s">
        <v>258</v>
      </c>
      <c r="BZ45" s="391" t="s">
        <v>258</v>
      </c>
      <c r="CA45" s="391" t="s">
        <v>258</v>
      </c>
      <c r="CB45" s="391" t="s">
        <v>258</v>
      </c>
    </row>
    <row r="46" spans="2:93" ht="12" thickBot="1">
      <c r="B46" s="73" t="s">
        <v>58</v>
      </c>
      <c r="C46" s="74" t="s">
        <v>83</v>
      </c>
      <c r="J46" s="301">
        <f t="shared" ref="J46:J73" si="67">IFERROR(J85/J5,0)</f>
        <v>1.3593609512703477</v>
      </c>
      <c r="AL46" s="116"/>
      <c r="AS46" s="183">
        <f>$J46</f>
        <v>1.3593609512703477</v>
      </c>
      <c r="AT46" s="183">
        <f t="shared" ref="AT46:AV73" si="68">$J46</f>
        <v>1.3593609512703477</v>
      </c>
      <c r="AU46" s="183">
        <f t="shared" si="68"/>
        <v>1.3593609512703477</v>
      </c>
      <c r="AV46" s="183">
        <f>$J46</f>
        <v>1.3593609512703477</v>
      </c>
      <c r="AY46" s="183">
        <f t="shared" ref="AY46:AY73" si="69">IFERROR(AY85/AY5,0)</f>
        <v>1.3593609512703477</v>
      </c>
      <c r="BA46" s="209"/>
      <c r="BB46" s="401">
        <f>AY46-J46</f>
        <v>0</v>
      </c>
      <c r="BC46" s="401">
        <f>AY46-BK46</f>
        <v>0</v>
      </c>
      <c r="BK46" s="178">
        <f>AY46</f>
        <v>1.3593609512703477</v>
      </c>
      <c r="BL46" s="401">
        <f>BK46-J46</f>
        <v>0</v>
      </c>
      <c r="BQ46" s="211">
        <f t="shared" ref="BQ46:BQ62" si="70">$BK46</f>
        <v>1.3593609512703477</v>
      </c>
      <c r="BR46" s="211">
        <f t="shared" ref="BR46:CB61" si="71">$BK46</f>
        <v>1.3593609512703477</v>
      </c>
      <c r="BS46" s="211">
        <f t="shared" si="71"/>
        <v>1.3593609512703477</v>
      </c>
      <c r="BT46" s="211">
        <f t="shared" si="71"/>
        <v>1.3593609512703477</v>
      </c>
      <c r="BU46" s="211">
        <f t="shared" si="71"/>
        <v>1.3593609512703477</v>
      </c>
      <c r="BV46" s="211">
        <f t="shared" si="71"/>
        <v>1.3593609512703477</v>
      </c>
      <c r="BW46" s="211">
        <f t="shared" si="71"/>
        <v>1.3593609512703477</v>
      </c>
      <c r="BX46" s="211">
        <f t="shared" si="71"/>
        <v>1.3593609512703477</v>
      </c>
      <c r="BY46" s="211">
        <f t="shared" si="71"/>
        <v>1.3593609512703477</v>
      </c>
      <c r="BZ46" s="211">
        <f t="shared" si="71"/>
        <v>1.3593609512703477</v>
      </c>
      <c r="CA46" s="211">
        <f t="shared" si="71"/>
        <v>1.3593609512703477</v>
      </c>
      <c r="CB46" s="211">
        <f t="shared" si="71"/>
        <v>1.3593609512703477</v>
      </c>
    </row>
    <row r="47" spans="2:93" ht="12" thickBot="1">
      <c r="B47" s="75" t="s">
        <v>59</v>
      </c>
      <c r="C47" s="76" t="s">
        <v>88</v>
      </c>
      <c r="D47" s="95"/>
      <c r="I47" s="308"/>
      <c r="J47" s="310">
        <f t="shared" si="67"/>
        <v>0.65281794263692272</v>
      </c>
      <c r="L47" s="309" t="s">
        <v>309</v>
      </c>
      <c r="O47" s="312" t="s">
        <v>314</v>
      </c>
      <c r="P47" s="312"/>
      <c r="Q47" s="312"/>
      <c r="R47" s="312"/>
      <c r="AS47" s="184">
        <f t="shared" ref="AS47:AS73" si="72">$J47</f>
        <v>0.65281794263692272</v>
      </c>
      <c r="AT47" s="184">
        <f t="shared" si="68"/>
        <v>0.65281794263692272</v>
      </c>
      <c r="AU47" s="184">
        <f t="shared" si="68"/>
        <v>0.65281794263692272</v>
      </c>
      <c r="AV47" s="184">
        <f t="shared" si="68"/>
        <v>0.65281794263692272</v>
      </c>
      <c r="AY47" s="184">
        <f t="shared" si="69"/>
        <v>0.65281794263692294</v>
      </c>
      <c r="BA47" s="209"/>
      <c r="BB47" s="401">
        <f t="shared" ref="BB47:BB73" si="73">AY47-J47</f>
        <v>0</v>
      </c>
      <c r="BC47" s="401">
        <f t="shared" ref="BC47:BC73" si="74">AY47-BK47</f>
        <v>0</v>
      </c>
      <c r="BK47" s="179">
        <f t="shared" ref="BK47:BK73" si="75">AY47</f>
        <v>0.65281794263692294</v>
      </c>
      <c r="BL47" s="401">
        <f t="shared" ref="BL47:BL73" si="76">BK47-J47</f>
        <v>0</v>
      </c>
      <c r="BQ47" s="211">
        <f t="shared" si="70"/>
        <v>0.65281794263692294</v>
      </c>
      <c r="BR47" s="211">
        <f t="shared" si="71"/>
        <v>0.65281794263692294</v>
      </c>
      <c r="BS47" s="211">
        <f t="shared" si="71"/>
        <v>0.65281794263692294</v>
      </c>
      <c r="BT47" s="211">
        <f t="shared" si="71"/>
        <v>0.65281794263692294</v>
      </c>
      <c r="BU47" s="211">
        <f t="shared" si="71"/>
        <v>0.65281794263692294</v>
      </c>
      <c r="BV47" s="211">
        <f t="shared" si="71"/>
        <v>0.65281794263692294</v>
      </c>
      <c r="BW47" s="211">
        <f t="shared" si="71"/>
        <v>0.65281794263692294</v>
      </c>
      <c r="BX47" s="211">
        <f t="shared" si="71"/>
        <v>0.65281794263692294</v>
      </c>
      <c r="BY47" s="211">
        <f t="shared" si="71"/>
        <v>0.65281794263692294</v>
      </c>
      <c r="BZ47" s="211">
        <f t="shared" si="71"/>
        <v>0.65281794263692294</v>
      </c>
      <c r="CA47" s="211">
        <f t="shared" si="71"/>
        <v>0.65281794263692294</v>
      </c>
      <c r="CB47" s="211">
        <f t="shared" si="71"/>
        <v>0.65281794263692294</v>
      </c>
    </row>
    <row r="48" spans="2:93" ht="12" thickBot="1">
      <c r="B48" s="75" t="s">
        <v>60</v>
      </c>
      <c r="C48" s="76"/>
      <c r="J48" s="184">
        <f t="shared" si="67"/>
        <v>0</v>
      </c>
      <c r="AS48" s="184">
        <f t="shared" si="72"/>
        <v>0</v>
      </c>
      <c r="AT48" s="184">
        <f t="shared" si="68"/>
        <v>0</v>
      </c>
      <c r="AU48" s="184">
        <f t="shared" si="68"/>
        <v>0</v>
      </c>
      <c r="AV48" s="184">
        <f t="shared" si="68"/>
        <v>0</v>
      </c>
      <c r="AY48" s="184">
        <f t="shared" si="69"/>
        <v>0</v>
      </c>
      <c r="BA48" s="209"/>
      <c r="BB48" s="401">
        <f t="shared" si="73"/>
        <v>0</v>
      </c>
      <c r="BC48" s="401">
        <f t="shared" si="74"/>
        <v>0</v>
      </c>
      <c r="BK48" s="179">
        <f t="shared" si="75"/>
        <v>0</v>
      </c>
      <c r="BL48" s="401">
        <f t="shared" si="76"/>
        <v>0</v>
      </c>
      <c r="BQ48" s="211">
        <f t="shared" si="70"/>
        <v>0</v>
      </c>
      <c r="BR48" s="211">
        <f t="shared" si="71"/>
        <v>0</v>
      </c>
      <c r="BS48" s="211">
        <f t="shared" si="71"/>
        <v>0</v>
      </c>
      <c r="BT48" s="211">
        <f t="shared" si="71"/>
        <v>0</v>
      </c>
      <c r="BU48" s="211">
        <f t="shared" si="71"/>
        <v>0</v>
      </c>
      <c r="BV48" s="211">
        <f t="shared" si="71"/>
        <v>0</v>
      </c>
      <c r="BW48" s="211">
        <f t="shared" si="71"/>
        <v>0</v>
      </c>
      <c r="BX48" s="211">
        <f t="shared" si="71"/>
        <v>0</v>
      </c>
      <c r="BY48" s="211">
        <f t="shared" si="71"/>
        <v>0</v>
      </c>
      <c r="BZ48" s="211">
        <f t="shared" si="71"/>
        <v>0</v>
      </c>
      <c r="CA48" s="211">
        <f t="shared" si="71"/>
        <v>0</v>
      </c>
      <c r="CB48" s="211">
        <f t="shared" si="71"/>
        <v>0</v>
      </c>
    </row>
    <row r="49" spans="2:80" ht="12" thickBot="1">
      <c r="B49" s="81" t="s">
        <v>61</v>
      </c>
      <c r="C49" s="76" t="s">
        <v>95</v>
      </c>
      <c r="J49" s="310">
        <f t="shared" si="67"/>
        <v>0.3418843783379315</v>
      </c>
      <c r="L49" s="17" t="s">
        <v>310</v>
      </c>
      <c r="O49" s="312" t="s">
        <v>311</v>
      </c>
      <c r="P49" s="312"/>
      <c r="Q49" s="312"/>
      <c r="R49" s="312"/>
      <c r="AS49" s="184">
        <f t="shared" si="72"/>
        <v>0.3418843783379315</v>
      </c>
      <c r="AT49" s="184">
        <f t="shared" si="68"/>
        <v>0.3418843783379315</v>
      </c>
      <c r="AU49" s="184">
        <f t="shared" si="68"/>
        <v>0.3418843783379315</v>
      </c>
      <c r="AV49" s="184">
        <f t="shared" si="68"/>
        <v>0.3418843783379315</v>
      </c>
      <c r="AY49" s="184">
        <f t="shared" si="69"/>
        <v>0.34188437833793162</v>
      </c>
      <c r="BA49" s="209"/>
      <c r="BB49" s="401">
        <f t="shared" si="73"/>
        <v>0</v>
      </c>
      <c r="BC49" s="401">
        <f t="shared" si="74"/>
        <v>0</v>
      </c>
      <c r="BK49" s="179">
        <f t="shared" si="75"/>
        <v>0.34188437833793162</v>
      </c>
      <c r="BL49" s="401">
        <f t="shared" si="76"/>
        <v>0</v>
      </c>
      <c r="BQ49" s="211">
        <f t="shared" si="70"/>
        <v>0.34188437833793162</v>
      </c>
      <c r="BR49" s="211">
        <f t="shared" si="71"/>
        <v>0.34188437833793162</v>
      </c>
      <c r="BS49" s="211">
        <f t="shared" si="71"/>
        <v>0.34188437833793162</v>
      </c>
      <c r="BT49" s="211">
        <f t="shared" si="71"/>
        <v>0.34188437833793162</v>
      </c>
      <c r="BU49" s="211">
        <f t="shared" si="71"/>
        <v>0.34188437833793162</v>
      </c>
      <c r="BV49" s="211">
        <f t="shared" si="71"/>
        <v>0.34188437833793162</v>
      </c>
      <c r="BW49" s="211">
        <f t="shared" si="71"/>
        <v>0.34188437833793162</v>
      </c>
      <c r="BX49" s="211">
        <f t="shared" si="71"/>
        <v>0.34188437833793162</v>
      </c>
      <c r="BY49" s="211">
        <f t="shared" si="71"/>
        <v>0.34188437833793162</v>
      </c>
      <c r="BZ49" s="211">
        <f t="shared" si="71"/>
        <v>0.34188437833793162</v>
      </c>
      <c r="CA49" s="211">
        <f t="shared" si="71"/>
        <v>0.34188437833793162</v>
      </c>
      <c r="CB49" s="211">
        <f t="shared" si="71"/>
        <v>0.34188437833793162</v>
      </c>
    </row>
    <row r="50" spans="2:80" ht="12" thickBot="1">
      <c r="B50" s="75" t="s">
        <v>62</v>
      </c>
      <c r="C50" s="76" t="s">
        <v>86</v>
      </c>
      <c r="J50" s="310">
        <f t="shared" si="67"/>
        <v>0.69298685860282461</v>
      </c>
      <c r="L50" s="17" t="s">
        <v>312</v>
      </c>
      <c r="O50" s="312" t="s">
        <v>313</v>
      </c>
      <c r="P50" s="312"/>
      <c r="Q50" s="312"/>
      <c r="R50" s="312"/>
      <c r="AS50" s="184">
        <f t="shared" si="72"/>
        <v>0.69298685860282461</v>
      </c>
      <c r="AT50" s="184">
        <f t="shared" si="68"/>
        <v>0.69298685860282461</v>
      </c>
      <c r="AU50" s="184">
        <f t="shared" si="68"/>
        <v>0.69298685860282461</v>
      </c>
      <c r="AV50" s="184">
        <f t="shared" si="68"/>
        <v>0.69298685860282461</v>
      </c>
      <c r="AY50" s="184">
        <f t="shared" si="69"/>
        <v>0.69298685860282438</v>
      </c>
      <c r="BA50" s="209"/>
      <c r="BB50" s="401">
        <f t="shared" si="73"/>
        <v>0</v>
      </c>
      <c r="BC50" s="401">
        <f t="shared" si="74"/>
        <v>0</v>
      </c>
      <c r="BK50" s="179">
        <f t="shared" si="75"/>
        <v>0.69298685860282438</v>
      </c>
      <c r="BL50" s="401">
        <f t="shared" si="76"/>
        <v>0</v>
      </c>
      <c r="BQ50" s="211">
        <f t="shared" si="70"/>
        <v>0.69298685860282438</v>
      </c>
      <c r="BR50" s="211">
        <f t="shared" si="71"/>
        <v>0.69298685860282438</v>
      </c>
      <c r="BS50" s="211">
        <f t="shared" si="71"/>
        <v>0.69298685860282438</v>
      </c>
      <c r="BT50" s="211">
        <f t="shared" si="71"/>
        <v>0.69298685860282438</v>
      </c>
      <c r="BU50" s="211">
        <f t="shared" si="71"/>
        <v>0.69298685860282438</v>
      </c>
      <c r="BV50" s="211">
        <f t="shared" si="71"/>
        <v>0.69298685860282438</v>
      </c>
      <c r="BW50" s="211">
        <f t="shared" si="71"/>
        <v>0.69298685860282438</v>
      </c>
      <c r="BX50" s="211">
        <f t="shared" si="71"/>
        <v>0.69298685860282438</v>
      </c>
      <c r="BY50" s="211">
        <f t="shared" si="71"/>
        <v>0.69298685860282438</v>
      </c>
      <c r="BZ50" s="211">
        <f t="shared" si="71"/>
        <v>0.69298685860282438</v>
      </c>
      <c r="CA50" s="211">
        <f t="shared" si="71"/>
        <v>0.69298685860282438</v>
      </c>
      <c r="CB50" s="211">
        <f t="shared" si="71"/>
        <v>0.69298685860282438</v>
      </c>
    </row>
    <row r="51" spans="2:80" ht="12" thickBot="1">
      <c r="B51" s="75" t="s">
        <v>63</v>
      </c>
      <c r="C51" s="76" t="s">
        <v>89</v>
      </c>
      <c r="J51" s="184">
        <f t="shared" si="67"/>
        <v>0</v>
      </c>
      <c r="AS51" s="184">
        <f t="shared" si="72"/>
        <v>0</v>
      </c>
      <c r="AT51" s="184">
        <f t="shared" si="68"/>
        <v>0</v>
      </c>
      <c r="AU51" s="184">
        <f t="shared" si="68"/>
        <v>0</v>
      </c>
      <c r="AV51" s="184">
        <f t="shared" si="68"/>
        <v>0</v>
      </c>
      <c r="AY51" s="184">
        <f t="shared" si="69"/>
        <v>0</v>
      </c>
      <c r="BA51" s="209"/>
      <c r="BB51" s="401">
        <f t="shared" si="73"/>
        <v>0</v>
      </c>
      <c r="BC51" s="401">
        <f t="shared" si="74"/>
        <v>0</v>
      </c>
      <c r="BK51" s="179">
        <f t="shared" si="75"/>
        <v>0</v>
      </c>
      <c r="BL51" s="401">
        <f t="shared" si="76"/>
        <v>0</v>
      </c>
      <c r="BQ51" s="211">
        <f t="shared" si="70"/>
        <v>0</v>
      </c>
      <c r="BR51" s="211">
        <f t="shared" si="71"/>
        <v>0</v>
      </c>
      <c r="BS51" s="211">
        <f t="shared" si="71"/>
        <v>0</v>
      </c>
      <c r="BT51" s="211">
        <f t="shared" si="71"/>
        <v>0</v>
      </c>
      <c r="BU51" s="211">
        <f t="shared" si="71"/>
        <v>0</v>
      </c>
      <c r="BV51" s="211">
        <f t="shared" si="71"/>
        <v>0</v>
      </c>
      <c r="BW51" s="211">
        <f t="shared" si="71"/>
        <v>0</v>
      </c>
      <c r="BX51" s="211">
        <f t="shared" si="71"/>
        <v>0</v>
      </c>
      <c r="BY51" s="211">
        <f t="shared" si="71"/>
        <v>0</v>
      </c>
      <c r="BZ51" s="211">
        <f t="shared" si="71"/>
        <v>0</v>
      </c>
      <c r="CA51" s="211">
        <f t="shared" si="71"/>
        <v>0</v>
      </c>
      <c r="CB51" s="211">
        <f t="shared" si="71"/>
        <v>0</v>
      </c>
    </row>
    <row r="52" spans="2:80" ht="12" thickBot="1">
      <c r="B52" s="75" t="s">
        <v>64</v>
      </c>
      <c r="C52" s="76" t="s">
        <v>100</v>
      </c>
      <c r="J52" s="184">
        <f t="shared" si="67"/>
        <v>1.4664233195347922</v>
      </c>
      <c r="O52" s="312" t="s">
        <v>325</v>
      </c>
      <c r="P52" s="312"/>
      <c r="Q52" s="312"/>
      <c r="R52" s="312"/>
      <c r="AS52" s="184">
        <f t="shared" si="72"/>
        <v>1.4664233195347922</v>
      </c>
      <c r="AT52" s="184">
        <f t="shared" si="68"/>
        <v>1.4664233195347922</v>
      </c>
      <c r="AU52" s="184">
        <f t="shared" si="68"/>
        <v>1.4664233195347922</v>
      </c>
      <c r="AV52" s="184">
        <f t="shared" si="68"/>
        <v>1.4664233195347922</v>
      </c>
      <c r="AY52" s="184">
        <f t="shared" si="69"/>
        <v>1.466423319534792</v>
      </c>
      <c r="BA52" s="209"/>
      <c r="BB52" s="401">
        <f t="shared" si="73"/>
        <v>0</v>
      </c>
      <c r="BC52" s="401">
        <f t="shared" si="74"/>
        <v>0</v>
      </c>
      <c r="BK52" s="179">
        <f t="shared" si="75"/>
        <v>1.466423319534792</v>
      </c>
      <c r="BL52" s="401">
        <f t="shared" si="76"/>
        <v>0</v>
      </c>
      <c r="BQ52" s="211">
        <f t="shared" si="70"/>
        <v>1.466423319534792</v>
      </c>
      <c r="BR52" s="211">
        <f t="shared" si="71"/>
        <v>1.466423319534792</v>
      </c>
      <c r="BS52" s="211">
        <f t="shared" si="71"/>
        <v>1.466423319534792</v>
      </c>
      <c r="BT52" s="211">
        <f t="shared" si="71"/>
        <v>1.466423319534792</v>
      </c>
      <c r="BU52" s="211">
        <f t="shared" si="71"/>
        <v>1.466423319534792</v>
      </c>
      <c r="BV52" s="211">
        <f t="shared" si="71"/>
        <v>1.466423319534792</v>
      </c>
      <c r="BW52" s="211">
        <f t="shared" si="71"/>
        <v>1.466423319534792</v>
      </c>
      <c r="BX52" s="211">
        <f t="shared" si="71"/>
        <v>1.466423319534792</v>
      </c>
      <c r="BY52" s="211">
        <f t="shared" si="71"/>
        <v>1.466423319534792</v>
      </c>
      <c r="BZ52" s="211">
        <f t="shared" si="71"/>
        <v>1.466423319534792</v>
      </c>
      <c r="CA52" s="211">
        <f t="shared" si="71"/>
        <v>1.466423319534792</v>
      </c>
      <c r="CB52" s="211">
        <f t="shared" si="71"/>
        <v>1.466423319534792</v>
      </c>
    </row>
    <row r="53" spans="2:80" ht="12" thickBot="1">
      <c r="B53" s="75" t="s">
        <v>65</v>
      </c>
      <c r="C53" s="76" t="s">
        <v>84</v>
      </c>
      <c r="J53" s="311">
        <f t="shared" si="67"/>
        <v>0.82400942748241179</v>
      </c>
      <c r="AS53" s="184">
        <f t="shared" si="72"/>
        <v>0.82400942748241179</v>
      </c>
      <c r="AT53" s="184">
        <f t="shared" si="68"/>
        <v>0.82400942748241179</v>
      </c>
      <c r="AU53" s="184">
        <f t="shared" si="68"/>
        <v>0.82400942748241179</v>
      </c>
      <c r="AV53" s="184">
        <f t="shared" si="68"/>
        <v>0.82400942748241179</v>
      </c>
      <c r="AY53" s="184">
        <f t="shared" si="69"/>
        <v>0.82400942748241168</v>
      </c>
      <c r="BA53" s="209"/>
      <c r="BB53" s="401">
        <f t="shared" si="73"/>
        <v>0</v>
      </c>
      <c r="BC53" s="401">
        <f t="shared" si="74"/>
        <v>0</v>
      </c>
      <c r="BK53" s="179">
        <f t="shared" si="75"/>
        <v>0.82400942748241168</v>
      </c>
      <c r="BL53" s="401">
        <f t="shared" si="76"/>
        <v>0</v>
      </c>
      <c r="BQ53" s="211">
        <f t="shared" si="70"/>
        <v>0.82400942748241168</v>
      </c>
      <c r="BR53" s="211">
        <f t="shared" si="71"/>
        <v>0.82400942748241168</v>
      </c>
      <c r="BS53" s="211">
        <f t="shared" si="71"/>
        <v>0.82400942748241168</v>
      </c>
      <c r="BT53" s="211">
        <f t="shared" si="71"/>
        <v>0.82400942748241168</v>
      </c>
      <c r="BU53" s="211">
        <f t="shared" si="71"/>
        <v>0.82400942748241168</v>
      </c>
      <c r="BV53" s="211">
        <f t="shared" si="71"/>
        <v>0.82400942748241168</v>
      </c>
      <c r="BW53" s="211">
        <f t="shared" si="71"/>
        <v>0.82400942748241168</v>
      </c>
      <c r="BX53" s="211">
        <f t="shared" si="71"/>
        <v>0.82400942748241168</v>
      </c>
      <c r="BY53" s="211">
        <f t="shared" si="71"/>
        <v>0.82400942748241168</v>
      </c>
      <c r="BZ53" s="211">
        <f t="shared" si="71"/>
        <v>0.82400942748241168</v>
      </c>
      <c r="CA53" s="211">
        <f t="shared" si="71"/>
        <v>0.82400942748241168</v>
      </c>
      <c r="CB53" s="211">
        <f t="shared" si="71"/>
        <v>0.82400942748241168</v>
      </c>
    </row>
    <row r="54" spans="2:80" ht="12" thickBot="1">
      <c r="B54" s="75" t="s">
        <v>66</v>
      </c>
      <c r="C54" s="76"/>
      <c r="J54" s="184">
        <f t="shared" si="67"/>
        <v>0</v>
      </c>
      <c r="AS54" s="184">
        <f t="shared" si="72"/>
        <v>0</v>
      </c>
      <c r="AT54" s="184">
        <f t="shared" si="68"/>
        <v>0</v>
      </c>
      <c r="AU54" s="184">
        <f t="shared" si="68"/>
        <v>0</v>
      </c>
      <c r="AV54" s="184">
        <f t="shared" si="68"/>
        <v>0</v>
      </c>
      <c r="AY54" s="184">
        <f t="shared" si="69"/>
        <v>0</v>
      </c>
      <c r="BA54" s="209"/>
      <c r="BB54" s="401">
        <f t="shared" si="73"/>
        <v>0</v>
      </c>
      <c r="BC54" s="401">
        <f t="shared" si="74"/>
        <v>0</v>
      </c>
      <c r="BK54" s="179">
        <f t="shared" si="75"/>
        <v>0</v>
      </c>
      <c r="BL54" s="401">
        <f t="shared" si="76"/>
        <v>0</v>
      </c>
      <c r="BQ54" s="211">
        <f t="shared" si="70"/>
        <v>0</v>
      </c>
      <c r="BR54" s="211">
        <f t="shared" si="71"/>
        <v>0</v>
      </c>
      <c r="BS54" s="211">
        <f t="shared" si="71"/>
        <v>0</v>
      </c>
      <c r="BT54" s="211">
        <f t="shared" si="71"/>
        <v>0</v>
      </c>
      <c r="BU54" s="211">
        <f t="shared" si="71"/>
        <v>0</v>
      </c>
      <c r="BV54" s="211">
        <f t="shared" si="71"/>
        <v>0</v>
      </c>
      <c r="BW54" s="211">
        <f t="shared" si="71"/>
        <v>0</v>
      </c>
      <c r="BX54" s="211">
        <f t="shared" si="71"/>
        <v>0</v>
      </c>
      <c r="BY54" s="211">
        <f t="shared" si="71"/>
        <v>0</v>
      </c>
      <c r="BZ54" s="211">
        <f t="shared" si="71"/>
        <v>0</v>
      </c>
      <c r="CA54" s="211">
        <f t="shared" si="71"/>
        <v>0</v>
      </c>
      <c r="CB54" s="211">
        <f t="shared" si="71"/>
        <v>0</v>
      </c>
    </row>
    <row r="55" spans="2:80" ht="12" thickBot="1">
      <c r="B55" s="75" t="s">
        <v>67</v>
      </c>
      <c r="C55" s="76"/>
      <c r="J55" s="184">
        <f t="shared" si="67"/>
        <v>0</v>
      </c>
      <c r="AS55" s="184">
        <f t="shared" si="72"/>
        <v>0</v>
      </c>
      <c r="AT55" s="184">
        <f t="shared" si="68"/>
        <v>0</v>
      </c>
      <c r="AU55" s="184">
        <f t="shared" si="68"/>
        <v>0</v>
      </c>
      <c r="AV55" s="184">
        <f t="shared" si="68"/>
        <v>0</v>
      </c>
      <c r="AY55" s="184">
        <f t="shared" si="69"/>
        <v>0</v>
      </c>
      <c r="BA55" s="209"/>
      <c r="BB55" s="401">
        <f t="shared" si="73"/>
        <v>0</v>
      </c>
      <c r="BC55" s="401">
        <f t="shared" si="74"/>
        <v>0</v>
      </c>
      <c r="BK55" s="179">
        <f t="shared" si="75"/>
        <v>0</v>
      </c>
      <c r="BL55" s="401">
        <f t="shared" si="76"/>
        <v>0</v>
      </c>
      <c r="BQ55" s="211">
        <f t="shared" si="70"/>
        <v>0</v>
      </c>
      <c r="BR55" s="211">
        <f t="shared" si="71"/>
        <v>0</v>
      </c>
      <c r="BS55" s="211">
        <f t="shared" si="71"/>
        <v>0</v>
      </c>
      <c r="BT55" s="211">
        <f t="shared" si="71"/>
        <v>0</v>
      </c>
      <c r="BU55" s="211">
        <f t="shared" si="71"/>
        <v>0</v>
      </c>
      <c r="BV55" s="211">
        <f t="shared" si="71"/>
        <v>0</v>
      </c>
      <c r="BW55" s="211">
        <f t="shared" si="71"/>
        <v>0</v>
      </c>
      <c r="BX55" s="211">
        <f t="shared" si="71"/>
        <v>0</v>
      </c>
      <c r="BY55" s="211">
        <f t="shared" si="71"/>
        <v>0</v>
      </c>
      <c r="BZ55" s="211">
        <f t="shared" si="71"/>
        <v>0</v>
      </c>
      <c r="CA55" s="211">
        <f t="shared" si="71"/>
        <v>0</v>
      </c>
      <c r="CB55" s="211">
        <f t="shared" si="71"/>
        <v>0</v>
      </c>
    </row>
    <row r="56" spans="2:80" ht="12" thickBot="1">
      <c r="B56" s="75" t="s">
        <v>68</v>
      </c>
      <c r="C56" s="76" t="s">
        <v>93</v>
      </c>
      <c r="J56" s="299">
        <f t="shared" si="67"/>
        <v>0.27755034032229131</v>
      </c>
      <c r="L56" s="17" t="s">
        <v>315</v>
      </c>
      <c r="O56" s="17" t="s">
        <v>317</v>
      </c>
      <c r="AS56" s="184">
        <f t="shared" si="72"/>
        <v>0.27755034032229131</v>
      </c>
      <c r="AT56" s="184">
        <f t="shared" si="68"/>
        <v>0.27755034032229131</v>
      </c>
      <c r="AU56" s="184">
        <f t="shared" si="68"/>
        <v>0.27755034032229131</v>
      </c>
      <c r="AV56" s="184">
        <f t="shared" si="68"/>
        <v>0.27755034032229131</v>
      </c>
      <c r="AY56" s="184">
        <f t="shared" si="69"/>
        <v>0.27755034032229131</v>
      </c>
      <c r="BA56" s="209"/>
      <c r="BB56" s="401">
        <f t="shared" si="73"/>
        <v>0</v>
      </c>
      <c r="BC56" s="401">
        <f t="shared" si="74"/>
        <v>0</v>
      </c>
      <c r="BK56" s="179">
        <f t="shared" si="75"/>
        <v>0.27755034032229131</v>
      </c>
      <c r="BL56" s="401">
        <f t="shared" si="76"/>
        <v>0</v>
      </c>
      <c r="BQ56" s="211">
        <f t="shared" si="70"/>
        <v>0.27755034032229131</v>
      </c>
      <c r="BR56" s="211">
        <f t="shared" si="71"/>
        <v>0.27755034032229131</v>
      </c>
      <c r="BS56" s="211">
        <f t="shared" si="71"/>
        <v>0.27755034032229131</v>
      </c>
      <c r="BT56" s="211">
        <f t="shared" si="71"/>
        <v>0.27755034032229131</v>
      </c>
      <c r="BU56" s="211">
        <f t="shared" si="71"/>
        <v>0.27755034032229131</v>
      </c>
      <c r="BV56" s="211">
        <f t="shared" si="71"/>
        <v>0.27755034032229131</v>
      </c>
      <c r="BW56" s="211">
        <f t="shared" si="71"/>
        <v>0.27755034032229131</v>
      </c>
      <c r="BX56" s="211">
        <f t="shared" si="71"/>
        <v>0.27755034032229131</v>
      </c>
      <c r="BY56" s="211">
        <f t="shared" si="71"/>
        <v>0.27755034032229131</v>
      </c>
      <c r="BZ56" s="211">
        <f t="shared" si="71"/>
        <v>0.27755034032229131</v>
      </c>
      <c r="CA56" s="211">
        <f t="shared" si="71"/>
        <v>0.27755034032229131</v>
      </c>
      <c r="CB56" s="211">
        <f t="shared" si="71"/>
        <v>0.27755034032229131</v>
      </c>
    </row>
    <row r="57" spans="2:80" ht="12" thickBot="1">
      <c r="B57" s="75" t="s">
        <v>69</v>
      </c>
      <c r="C57" s="76" t="s">
        <v>91</v>
      </c>
      <c r="J57" s="299">
        <f t="shared" si="67"/>
        <v>0.33234048357279772</v>
      </c>
      <c r="L57" s="17" t="s">
        <v>316</v>
      </c>
      <c r="O57" s="17" t="s">
        <v>317</v>
      </c>
      <c r="AS57" s="184">
        <f t="shared" si="72"/>
        <v>0.33234048357279772</v>
      </c>
      <c r="AT57" s="184">
        <f t="shared" si="68"/>
        <v>0.33234048357279772</v>
      </c>
      <c r="AU57" s="184">
        <f t="shared" si="68"/>
        <v>0.33234048357279772</v>
      </c>
      <c r="AV57" s="184">
        <f t="shared" si="68"/>
        <v>0.33234048357279772</v>
      </c>
      <c r="AY57" s="184">
        <f t="shared" si="69"/>
        <v>0.33234048357279766</v>
      </c>
      <c r="BA57" s="209"/>
      <c r="BB57" s="401">
        <f t="shared" si="73"/>
        <v>0</v>
      </c>
      <c r="BC57" s="401">
        <f t="shared" si="74"/>
        <v>0</v>
      </c>
      <c r="BK57" s="179">
        <f t="shared" si="75"/>
        <v>0.33234048357279766</v>
      </c>
      <c r="BL57" s="401">
        <f t="shared" si="76"/>
        <v>0</v>
      </c>
      <c r="BQ57" s="211">
        <f t="shared" si="70"/>
        <v>0.33234048357279766</v>
      </c>
      <c r="BR57" s="211">
        <f t="shared" si="71"/>
        <v>0.33234048357279766</v>
      </c>
      <c r="BS57" s="211">
        <f t="shared" si="71"/>
        <v>0.33234048357279766</v>
      </c>
      <c r="BT57" s="211">
        <f t="shared" si="71"/>
        <v>0.33234048357279766</v>
      </c>
      <c r="BU57" s="211">
        <f t="shared" si="71"/>
        <v>0.33234048357279766</v>
      </c>
      <c r="BV57" s="211">
        <f t="shared" si="71"/>
        <v>0.33234048357279766</v>
      </c>
      <c r="BW57" s="211">
        <f t="shared" si="71"/>
        <v>0.33234048357279766</v>
      </c>
      <c r="BX57" s="211">
        <f t="shared" si="71"/>
        <v>0.33234048357279766</v>
      </c>
      <c r="BY57" s="211">
        <f t="shared" si="71"/>
        <v>0.33234048357279766</v>
      </c>
      <c r="BZ57" s="211">
        <f t="shared" si="71"/>
        <v>0.33234048357279766</v>
      </c>
      <c r="CA57" s="211">
        <f t="shared" si="71"/>
        <v>0.33234048357279766</v>
      </c>
      <c r="CB57" s="211">
        <f t="shared" si="71"/>
        <v>0.33234048357279766</v>
      </c>
    </row>
    <row r="58" spans="2:80" ht="12" thickBot="1">
      <c r="B58" s="75" t="s">
        <v>70</v>
      </c>
      <c r="C58" s="82" t="s">
        <v>70</v>
      </c>
      <c r="J58" s="300">
        <f t="shared" si="67"/>
        <v>2.0320043268007129</v>
      </c>
      <c r="O58" s="17" t="s">
        <v>318</v>
      </c>
      <c r="AS58" s="185">
        <f t="shared" si="72"/>
        <v>2.0320043268007129</v>
      </c>
      <c r="AT58" s="185">
        <f t="shared" si="68"/>
        <v>2.0320043268007129</v>
      </c>
      <c r="AU58" s="185">
        <f t="shared" si="68"/>
        <v>2.0320043268007129</v>
      </c>
      <c r="AV58" s="185">
        <f t="shared" si="68"/>
        <v>2.0320043268007129</v>
      </c>
      <c r="AY58" s="185">
        <f t="shared" si="69"/>
        <v>2.0320043268007129</v>
      </c>
      <c r="BA58" s="209"/>
      <c r="BB58" s="401">
        <f t="shared" si="73"/>
        <v>0</v>
      </c>
      <c r="BC58" s="401">
        <f t="shared" si="74"/>
        <v>0</v>
      </c>
      <c r="BK58" s="180">
        <f t="shared" si="75"/>
        <v>2.0320043268007129</v>
      </c>
      <c r="BL58" s="401">
        <f t="shared" si="76"/>
        <v>0</v>
      </c>
      <c r="BQ58" s="211">
        <f t="shared" si="70"/>
        <v>2.0320043268007129</v>
      </c>
      <c r="BR58" s="211">
        <f t="shared" si="71"/>
        <v>2.0320043268007129</v>
      </c>
      <c r="BS58" s="211">
        <f t="shared" si="71"/>
        <v>2.0320043268007129</v>
      </c>
      <c r="BT58" s="211">
        <f t="shared" si="71"/>
        <v>2.0320043268007129</v>
      </c>
      <c r="BU58" s="211">
        <f t="shared" si="71"/>
        <v>2.0320043268007129</v>
      </c>
      <c r="BV58" s="211">
        <f t="shared" si="71"/>
        <v>2.0320043268007129</v>
      </c>
      <c r="BW58" s="211">
        <f t="shared" si="71"/>
        <v>2.0320043268007129</v>
      </c>
      <c r="BX58" s="211">
        <f t="shared" si="71"/>
        <v>2.0320043268007129</v>
      </c>
      <c r="BY58" s="211">
        <f t="shared" si="71"/>
        <v>2.0320043268007129</v>
      </c>
      <c r="BZ58" s="211">
        <f t="shared" si="71"/>
        <v>2.0320043268007129</v>
      </c>
      <c r="CA58" s="211">
        <f t="shared" si="71"/>
        <v>2.0320043268007129</v>
      </c>
      <c r="CB58" s="211">
        <f t="shared" si="71"/>
        <v>2.0320043268007129</v>
      </c>
    </row>
    <row r="59" spans="2:80" ht="12" thickBot="1">
      <c r="B59" s="75" t="s">
        <v>71</v>
      </c>
      <c r="C59" s="76" t="s">
        <v>97</v>
      </c>
      <c r="J59" s="299">
        <f t="shared" si="67"/>
        <v>1.7475729488499825</v>
      </c>
      <c r="AS59" s="184">
        <f t="shared" si="72"/>
        <v>1.7475729488499825</v>
      </c>
      <c r="AT59" s="184">
        <f t="shared" si="68"/>
        <v>1.7475729488499825</v>
      </c>
      <c r="AU59" s="184">
        <f t="shared" si="68"/>
        <v>1.7475729488499825</v>
      </c>
      <c r="AV59" s="184">
        <f t="shared" si="68"/>
        <v>1.7475729488499825</v>
      </c>
      <c r="AY59" s="184">
        <f t="shared" si="69"/>
        <v>1.7475729488499825</v>
      </c>
      <c r="BA59" s="209"/>
      <c r="BB59" s="401">
        <f t="shared" si="73"/>
        <v>0</v>
      </c>
      <c r="BC59" s="401">
        <f t="shared" si="74"/>
        <v>0</v>
      </c>
      <c r="BK59" s="179">
        <f t="shared" si="75"/>
        <v>1.7475729488499825</v>
      </c>
      <c r="BL59" s="401">
        <f t="shared" si="76"/>
        <v>0</v>
      </c>
      <c r="BQ59" s="211">
        <f t="shared" si="70"/>
        <v>1.7475729488499825</v>
      </c>
      <c r="BR59" s="211">
        <f t="shared" si="71"/>
        <v>1.7475729488499825</v>
      </c>
      <c r="BS59" s="211">
        <f t="shared" si="71"/>
        <v>1.7475729488499825</v>
      </c>
      <c r="BT59" s="211">
        <f t="shared" si="71"/>
        <v>1.7475729488499825</v>
      </c>
      <c r="BU59" s="211">
        <f t="shared" si="71"/>
        <v>1.7475729488499825</v>
      </c>
      <c r="BV59" s="211">
        <f t="shared" si="71"/>
        <v>1.7475729488499825</v>
      </c>
      <c r="BW59" s="211">
        <f t="shared" si="71"/>
        <v>1.7475729488499825</v>
      </c>
      <c r="BX59" s="211">
        <f t="shared" si="71"/>
        <v>1.7475729488499825</v>
      </c>
      <c r="BY59" s="211">
        <f t="shared" si="71"/>
        <v>1.7475729488499825</v>
      </c>
      <c r="BZ59" s="211">
        <f t="shared" si="71"/>
        <v>1.7475729488499825</v>
      </c>
      <c r="CA59" s="211">
        <f t="shared" si="71"/>
        <v>1.7475729488499825</v>
      </c>
      <c r="CB59" s="211">
        <f t="shared" si="71"/>
        <v>1.7475729488499825</v>
      </c>
    </row>
    <row r="60" spans="2:80" ht="12" thickBot="1">
      <c r="B60" s="75" t="s">
        <v>72</v>
      </c>
      <c r="C60" s="76" t="s">
        <v>85</v>
      </c>
      <c r="J60" s="184">
        <f t="shared" si="67"/>
        <v>0</v>
      </c>
      <c r="AS60" s="184">
        <f t="shared" si="72"/>
        <v>0</v>
      </c>
      <c r="AT60" s="184">
        <f t="shared" si="68"/>
        <v>0</v>
      </c>
      <c r="AU60" s="184">
        <f t="shared" si="68"/>
        <v>0</v>
      </c>
      <c r="AV60" s="184">
        <f t="shared" si="68"/>
        <v>0</v>
      </c>
      <c r="AY60" s="184">
        <f t="shared" si="69"/>
        <v>0</v>
      </c>
      <c r="BA60" s="209"/>
      <c r="BB60" s="401">
        <f t="shared" si="73"/>
        <v>0</v>
      </c>
      <c r="BC60" s="401">
        <f t="shared" si="74"/>
        <v>0</v>
      </c>
      <c r="BK60" s="179">
        <f t="shared" si="75"/>
        <v>0</v>
      </c>
      <c r="BL60" s="401">
        <f t="shared" si="76"/>
        <v>0</v>
      </c>
      <c r="BQ60" s="211">
        <f t="shared" si="70"/>
        <v>0</v>
      </c>
      <c r="BR60" s="211">
        <f t="shared" si="71"/>
        <v>0</v>
      </c>
      <c r="BS60" s="211">
        <f t="shared" si="71"/>
        <v>0</v>
      </c>
      <c r="BT60" s="211">
        <f t="shared" si="71"/>
        <v>0</v>
      </c>
      <c r="BU60" s="211">
        <f t="shared" si="71"/>
        <v>0</v>
      </c>
      <c r="BV60" s="211">
        <f t="shared" si="71"/>
        <v>0</v>
      </c>
      <c r="BW60" s="211">
        <f t="shared" si="71"/>
        <v>0</v>
      </c>
      <c r="BX60" s="211">
        <f t="shared" si="71"/>
        <v>0</v>
      </c>
      <c r="BY60" s="211">
        <f t="shared" si="71"/>
        <v>0</v>
      </c>
      <c r="BZ60" s="211">
        <f t="shared" si="71"/>
        <v>0</v>
      </c>
      <c r="CA60" s="211">
        <f t="shared" si="71"/>
        <v>0</v>
      </c>
      <c r="CB60" s="211">
        <f t="shared" si="71"/>
        <v>0</v>
      </c>
    </row>
    <row r="61" spans="2:80" ht="12" thickBot="1">
      <c r="B61" s="75" t="s">
        <v>73</v>
      </c>
      <c r="C61" s="76" t="s">
        <v>98</v>
      </c>
      <c r="J61" s="299">
        <f t="shared" si="67"/>
        <v>2.8324012158054712</v>
      </c>
      <c r="L61" s="17" t="s">
        <v>319</v>
      </c>
      <c r="O61" s="17" t="s">
        <v>322</v>
      </c>
      <c r="AS61" s="184">
        <f t="shared" si="72"/>
        <v>2.8324012158054712</v>
      </c>
      <c r="AT61" s="184">
        <f t="shared" si="68"/>
        <v>2.8324012158054712</v>
      </c>
      <c r="AU61" s="184">
        <f t="shared" si="68"/>
        <v>2.8324012158054712</v>
      </c>
      <c r="AV61" s="184">
        <f t="shared" si="68"/>
        <v>2.8324012158054712</v>
      </c>
      <c r="AY61" s="184">
        <f t="shared" si="69"/>
        <v>2.8324012158054708</v>
      </c>
      <c r="BA61" s="209"/>
      <c r="BB61" s="401">
        <f t="shared" si="73"/>
        <v>0</v>
      </c>
      <c r="BC61" s="401">
        <f t="shared" si="74"/>
        <v>0</v>
      </c>
      <c r="BK61" s="179">
        <f t="shared" si="75"/>
        <v>2.8324012158054708</v>
      </c>
      <c r="BL61" s="401">
        <f t="shared" si="76"/>
        <v>0</v>
      </c>
      <c r="BN61" s="95"/>
      <c r="BQ61" s="211">
        <f t="shared" si="70"/>
        <v>2.8324012158054708</v>
      </c>
      <c r="BR61" s="211">
        <f t="shared" si="71"/>
        <v>2.8324012158054708</v>
      </c>
      <c r="BS61" s="211">
        <f t="shared" si="71"/>
        <v>2.8324012158054708</v>
      </c>
      <c r="BT61" s="211">
        <f t="shared" si="71"/>
        <v>2.8324012158054708</v>
      </c>
      <c r="BU61" s="211">
        <f t="shared" si="71"/>
        <v>2.8324012158054708</v>
      </c>
      <c r="BV61" s="211">
        <f t="shared" si="71"/>
        <v>2.8324012158054708</v>
      </c>
      <c r="BW61" s="211">
        <f t="shared" si="71"/>
        <v>2.8324012158054708</v>
      </c>
      <c r="BX61" s="211">
        <f t="shared" si="71"/>
        <v>2.8324012158054708</v>
      </c>
      <c r="BY61" s="211">
        <f t="shared" si="71"/>
        <v>2.8324012158054708</v>
      </c>
      <c r="BZ61" s="211">
        <f t="shared" si="71"/>
        <v>2.8324012158054708</v>
      </c>
      <c r="CA61" s="211">
        <f t="shared" si="71"/>
        <v>2.8324012158054708</v>
      </c>
      <c r="CB61" s="211">
        <f t="shared" si="71"/>
        <v>2.8324012158054708</v>
      </c>
    </row>
    <row r="62" spans="2:80" ht="12" thickBot="1">
      <c r="B62" s="75" t="s">
        <v>74</v>
      </c>
      <c r="C62" s="76" t="s">
        <v>99</v>
      </c>
      <c r="J62" s="299">
        <f t="shared" si="67"/>
        <v>1.8661784897025173</v>
      </c>
      <c r="L62" s="17" t="s">
        <v>320</v>
      </c>
      <c r="O62" s="17" t="s">
        <v>321</v>
      </c>
      <c r="AS62" s="184">
        <f t="shared" si="72"/>
        <v>1.8661784897025173</v>
      </c>
      <c r="AT62" s="184">
        <f t="shared" si="68"/>
        <v>1.8661784897025173</v>
      </c>
      <c r="AU62" s="184">
        <f t="shared" si="68"/>
        <v>1.8661784897025173</v>
      </c>
      <c r="AV62" s="184">
        <f t="shared" si="68"/>
        <v>1.8661784897025173</v>
      </c>
      <c r="AY62" s="184">
        <f t="shared" si="69"/>
        <v>1.8661784897025171</v>
      </c>
      <c r="BA62" s="209"/>
      <c r="BB62" s="401">
        <f t="shared" si="73"/>
        <v>0</v>
      </c>
      <c r="BC62" s="401">
        <f t="shared" si="74"/>
        <v>0</v>
      </c>
      <c r="BK62" s="179">
        <f t="shared" si="75"/>
        <v>1.8661784897025171</v>
      </c>
      <c r="BL62" s="401">
        <f t="shared" si="76"/>
        <v>0</v>
      </c>
      <c r="BQ62" s="211">
        <f t="shared" si="70"/>
        <v>1.8661784897025171</v>
      </c>
      <c r="BR62" s="211">
        <f t="shared" ref="BR62:CB62" si="77">$BK62</f>
        <v>1.8661784897025171</v>
      </c>
      <c r="BS62" s="211">
        <f t="shared" si="77"/>
        <v>1.8661784897025171</v>
      </c>
      <c r="BT62" s="211">
        <f t="shared" si="77"/>
        <v>1.8661784897025171</v>
      </c>
      <c r="BU62" s="211">
        <f t="shared" si="77"/>
        <v>1.8661784897025171</v>
      </c>
      <c r="BV62" s="211">
        <f t="shared" si="77"/>
        <v>1.8661784897025171</v>
      </c>
      <c r="BW62" s="211">
        <f t="shared" si="77"/>
        <v>1.8661784897025171</v>
      </c>
      <c r="BX62" s="211">
        <f t="shared" si="77"/>
        <v>1.8661784897025171</v>
      </c>
      <c r="BY62" s="211">
        <f t="shared" si="77"/>
        <v>1.8661784897025171</v>
      </c>
      <c r="BZ62" s="211">
        <f t="shared" si="77"/>
        <v>1.8661784897025171</v>
      </c>
      <c r="CA62" s="211">
        <f t="shared" si="77"/>
        <v>1.8661784897025171</v>
      </c>
      <c r="CB62" s="211">
        <f t="shared" si="77"/>
        <v>1.8661784897025171</v>
      </c>
    </row>
    <row r="63" spans="2:80" ht="12" thickBot="1">
      <c r="B63" s="75" t="s">
        <v>75</v>
      </c>
      <c r="C63" s="82" t="s">
        <v>103</v>
      </c>
      <c r="J63" s="299">
        <f t="shared" si="67"/>
        <v>0.4464880337869544</v>
      </c>
      <c r="AS63" s="185">
        <f t="shared" si="72"/>
        <v>0.4464880337869544</v>
      </c>
      <c r="AT63" s="185">
        <f t="shared" si="68"/>
        <v>0.4464880337869544</v>
      </c>
      <c r="AU63" s="185">
        <f t="shared" si="68"/>
        <v>0.4464880337869544</v>
      </c>
      <c r="AV63" s="185">
        <f t="shared" si="68"/>
        <v>0.4464880337869544</v>
      </c>
      <c r="AY63" s="185">
        <f t="shared" si="69"/>
        <v>0.4464880337869544</v>
      </c>
      <c r="BA63" s="209"/>
      <c r="BB63" s="401">
        <f t="shared" si="73"/>
        <v>0</v>
      </c>
      <c r="BC63" s="401">
        <f t="shared" si="74"/>
        <v>0</v>
      </c>
      <c r="BK63" s="180">
        <f t="shared" si="75"/>
        <v>0.4464880337869544</v>
      </c>
      <c r="BL63" s="401">
        <f t="shared" si="76"/>
        <v>0</v>
      </c>
      <c r="BQ63" s="211">
        <f t="shared" ref="BQ63:CB73" si="78">$BK63</f>
        <v>0.4464880337869544</v>
      </c>
      <c r="BR63" s="211">
        <f t="shared" si="78"/>
        <v>0.4464880337869544</v>
      </c>
      <c r="BS63" s="211">
        <f t="shared" si="78"/>
        <v>0.4464880337869544</v>
      </c>
      <c r="BT63" s="211">
        <f t="shared" si="78"/>
        <v>0.4464880337869544</v>
      </c>
      <c r="BU63" s="211">
        <f t="shared" si="78"/>
        <v>0.4464880337869544</v>
      </c>
      <c r="BV63" s="211">
        <f t="shared" si="78"/>
        <v>0.4464880337869544</v>
      </c>
      <c r="BW63" s="211">
        <f t="shared" si="78"/>
        <v>0.4464880337869544</v>
      </c>
      <c r="BX63" s="211">
        <f t="shared" si="78"/>
        <v>0.4464880337869544</v>
      </c>
      <c r="BY63" s="211">
        <f t="shared" si="78"/>
        <v>0.4464880337869544</v>
      </c>
      <c r="BZ63" s="211">
        <f t="shared" si="78"/>
        <v>0.4464880337869544</v>
      </c>
      <c r="CA63" s="211">
        <f t="shared" si="78"/>
        <v>0.4464880337869544</v>
      </c>
      <c r="CB63" s="211">
        <f t="shared" si="78"/>
        <v>0.4464880337869544</v>
      </c>
    </row>
    <row r="64" spans="2:80" ht="12" thickBot="1">
      <c r="B64" s="75" t="s">
        <v>76</v>
      </c>
      <c r="C64" s="82" t="s">
        <v>102</v>
      </c>
      <c r="J64" s="300">
        <f t="shared" si="67"/>
        <v>0.45507676449877194</v>
      </c>
      <c r="AS64" s="185">
        <f t="shared" si="72"/>
        <v>0.45507676449877194</v>
      </c>
      <c r="AT64" s="185">
        <f t="shared" si="68"/>
        <v>0.45507676449877194</v>
      </c>
      <c r="AU64" s="185">
        <f t="shared" si="68"/>
        <v>0.45507676449877194</v>
      </c>
      <c r="AV64" s="185">
        <f t="shared" si="68"/>
        <v>0.45507676449877194</v>
      </c>
      <c r="AY64" s="185">
        <f t="shared" si="69"/>
        <v>0.45507676449877194</v>
      </c>
      <c r="BA64" s="209"/>
      <c r="BB64" s="401">
        <f t="shared" si="73"/>
        <v>0</v>
      </c>
      <c r="BC64" s="401">
        <f t="shared" si="74"/>
        <v>0</v>
      </c>
      <c r="BK64" s="180">
        <f t="shared" si="75"/>
        <v>0.45507676449877194</v>
      </c>
      <c r="BL64" s="401">
        <f t="shared" si="76"/>
        <v>0</v>
      </c>
      <c r="BQ64" s="211">
        <f t="shared" si="78"/>
        <v>0.45507676449877194</v>
      </c>
      <c r="BR64" s="211">
        <f t="shared" si="78"/>
        <v>0.45507676449877194</v>
      </c>
      <c r="BS64" s="211">
        <f t="shared" si="78"/>
        <v>0.45507676449877194</v>
      </c>
      <c r="BT64" s="211">
        <f t="shared" si="78"/>
        <v>0.45507676449877194</v>
      </c>
      <c r="BU64" s="211">
        <f t="shared" si="78"/>
        <v>0.45507676449877194</v>
      </c>
      <c r="BV64" s="211">
        <f t="shared" si="78"/>
        <v>0.45507676449877194</v>
      </c>
      <c r="BW64" s="211">
        <f t="shared" si="78"/>
        <v>0.45507676449877194</v>
      </c>
      <c r="BX64" s="211">
        <f t="shared" si="78"/>
        <v>0.45507676449877194</v>
      </c>
      <c r="BY64" s="211">
        <f t="shared" si="78"/>
        <v>0.45507676449877194</v>
      </c>
      <c r="BZ64" s="211">
        <f t="shared" si="78"/>
        <v>0.45507676449877194</v>
      </c>
      <c r="CA64" s="211">
        <f t="shared" si="78"/>
        <v>0.45507676449877194</v>
      </c>
      <c r="CB64" s="211">
        <f t="shared" si="78"/>
        <v>0.45507676449877194</v>
      </c>
    </row>
    <row r="65" spans="2:80" ht="12" thickBot="1">
      <c r="B65" s="75" t="s">
        <v>77</v>
      </c>
      <c r="C65" s="82" t="s">
        <v>77</v>
      </c>
      <c r="J65" s="300">
        <f t="shared" si="67"/>
        <v>0.45249485708634157</v>
      </c>
      <c r="AS65" s="185">
        <f t="shared" si="72"/>
        <v>0.45249485708634157</v>
      </c>
      <c r="AT65" s="185">
        <f t="shared" si="68"/>
        <v>0.45249485708634157</v>
      </c>
      <c r="AU65" s="185">
        <f t="shared" si="68"/>
        <v>0.45249485708634157</v>
      </c>
      <c r="AV65" s="185">
        <f t="shared" si="68"/>
        <v>0.45249485708634157</v>
      </c>
      <c r="AY65" s="185">
        <f t="shared" si="69"/>
        <v>0.45249485708634163</v>
      </c>
      <c r="BA65" s="209"/>
      <c r="BB65" s="401">
        <f t="shared" si="73"/>
        <v>0</v>
      </c>
      <c r="BC65" s="401">
        <f t="shared" si="74"/>
        <v>0</v>
      </c>
      <c r="BK65" s="180">
        <f t="shared" si="75"/>
        <v>0.45249485708634163</v>
      </c>
      <c r="BL65" s="401">
        <f t="shared" si="76"/>
        <v>0</v>
      </c>
      <c r="BQ65" s="211">
        <f t="shared" si="78"/>
        <v>0.45249485708634163</v>
      </c>
      <c r="BR65" s="211">
        <f t="shared" si="78"/>
        <v>0.45249485708634163</v>
      </c>
      <c r="BS65" s="211">
        <f t="shared" si="78"/>
        <v>0.45249485708634163</v>
      </c>
      <c r="BT65" s="211">
        <f t="shared" si="78"/>
        <v>0.45249485708634163</v>
      </c>
      <c r="BU65" s="211">
        <f t="shared" si="78"/>
        <v>0.45249485708634163</v>
      </c>
      <c r="BV65" s="211">
        <f t="shared" si="78"/>
        <v>0.45249485708634163</v>
      </c>
      <c r="BW65" s="211">
        <f t="shared" si="78"/>
        <v>0.45249485708634163</v>
      </c>
      <c r="BX65" s="211">
        <f t="shared" si="78"/>
        <v>0.45249485708634163</v>
      </c>
      <c r="BY65" s="211">
        <f t="shared" si="78"/>
        <v>0.45249485708634163</v>
      </c>
      <c r="BZ65" s="211">
        <f t="shared" si="78"/>
        <v>0.45249485708634163</v>
      </c>
      <c r="CA65" s="211">
        <f t="shared" si="78"/>
        <v>0.45249485708634163</v>
      </c>
      <c r="CB65" s="211">
        <f t="shared" si="78"/>
        <v>0.45249485708634163</v>
      </c>
    </row>
    <row r="66" spans="2:80" ht="12" thickBot="1">
      <c r="B66" s="81" t="s">
        <v>78</v>
      </c>
      <c r="C66" s="76" t="s">
        <v>87</v>
      </c>
      <c r="J66" s="184">
        <f t="shared" si="67"/>
        <v>2.0102050963331264</v>
      </c>
      <c r="O66" s="312" t="s">
        <v>324</v>
      </c>
      <c r="P66" s="312"/>
      <c r="Q66" s="312"/>
      <c r="R66" s="312"/>
      <c r="AS66" s="184">
        <f t="shared" si="72"/>
        <v>2.0102050963331264</v>
      </c>
      <c r="AT66" s="184">
        <f t="shared" si="68"/>
        <v>2.0102050963331264</v>
      </c>
      <c r="AU66" s="184">
        <f t="shared" si="68"/>
        <v>2.0102050963331264</v>
      </c>
      <c r="AV66" s="184">
        <f t="shared" si="68"/>
        <v>2.0102050963331264</v>
      </c>
      <c r="AY66" s="184">
        <f t="shared" si="69"/>
        <v>2.0102050963331259</v>
      </c>
      <c r="BA66" s="209"/>
      <c r="BB66" s="401">
        <f t="shared" si="73"/>
        <v>0</v>
      </c>
      <c r="BC66" s="401">
        <f t="shared" si="74"/>
        <v>0</v>
      </c>
      <c r="BK66" s="179">
        <f t="shared" si="75"/>
        <v>2.0102050963331259</v>
      </c>
      <c r="BL66" s="401">
        <f t="shared" si="76"/>
        <v>0</v>
      </c>
      <c r="BQ66" s="211">
        <f t="shared" si="78"/>
        <v>2.0102050963331259</v>
      </c>
      <c r="BR66" s="211">
        <f t="shared" si="78"/>
        <v>2.0102050963331259</v>
      </c>
      <c r="BS66" s="211">
        <f t="shared" si="78"/>
        <v>2.0102050963331259</v>
      </c>
      <c r="BT66" s="211">
        <f t="shared" si="78"/>
        <v>2.0102050963331259</v>
      </c>
      <c r="BU66" s="211">
        <f t="shared" si="78"/>
        <v>2.0102050963331259</v>
      </c>
      <c r="BV66" s="211">
        <f t="shared" si="78"/>
        <v>2.0102050963331259</v>
      </c>
      <c r="BW66" s="211">
        <f t="shared" si="78"/>
        <v>2.0102050963331259</v>
      </c>
      <c r="BX66" s="211">
        <f t="shared" si="78"/>
        <v>2.0102050963331259</v>
      </c>
      <c r="BY66" s="211">
        <f t="shared" si="78"/>
        <v>2.0102050963331259</v>
      </c>
      <c r="BZ66" s="211">
        <f t="shared" si="78"/>
        <v>2.0102050963331259</v>
      </c>
      <c r="CA66" s="211">
        <f t="shared" si="78"/>
        <v>2.0102050963331259</v>
      </c>
      <c r="CB66" s="211">
        <f t="shared" si="78"/>
        <v>2.0102050963331259</v>
      </c>
    </row>
    <row r="67" spans="2:80" ht="12" thickBot="1">
      <c r="B67" s="81" t="s">
        <v>79</v>
      </c>
      <c r="C67" s="76" t="s">
        <v>90</v>
      </c>
      <c r="J67" s="184">
        <f t="shared" si="67"/>
        <v>0</v>
      </c>
      <c r="AS67" s="184">
        <f t="shared" si="72"/>
        <v>0</v>
      </c>
      <c r="AT67" s="184">
        <f t="shared" si="68"/>
        <v>0</v>
      </c>
      <c r="AU67" s="184">
        <f t="shared" si="68"/>
        <v>0</v>
      </c>
      <c r="AV67" s="184">
        <f t="shared" si="68"/>
        <v>0</v>
      </c>
      <c r="AY67" s="184">
        <f t="shared" si="69"/>
        <v>0</v>
      </c>
      <c r="BA67" s="209"/>
      <c r="BB67" s="401">
        <f t="shared" si="73"/>
        <v>0</v>
      </c>
      <c r="BC67" s="401">
        <f t="shared" si="74"/>
        <v>0</v>
      </c>
      <c r="BK67" s="179">
        <f t="shared" si="75"/>
        <v>0</v>
      </c>
      <c r="BL67" s="401">
        <f t="shared" si="76"/>
        <v>0</v>
      </c>
      <c r="BQ67" s="211">
        <f t="shared" si="78"/>
        <v>0</v>
      </c>
      <c r="BR67" s="211">
        <f t="shared" si="78"/>
        <v>0</v>
      </c>
      <c r="BS67" s="211">
        <f t="shared" si="78"/>
        <v>0</v>
      </c>
      <c r="BT67" s="211">
        <f t="shared" si="78"/>
        <v>0</v>
      </c>
      <c r="BU67" s="211">
        <f t="shared" si="78"/>
        <v>0</v>
      </c>
      <c r="BV67" s="211">
        <f t="shared" si="78"/>
        <v>0</v>
      </c>
      <c r="BW67" s="211">
        <f t="shared" si="78"/>
        <v>0</v>
      </c>
      <c r="BX67" s="211">
        <f t="shared" si="78"/>
        <v>0</v>
      </c>
      <c r="BY67" s="211">
        <f t="shared" si="78"/>
        <v>0</v>
      </c>
      <c r="BZ67" s="211">
        <f t="shared" si="78"/>
        <v>0</v>
      </c>
      <c r="CA67" s="211">
        <f t="shared" si="78"/>
        <v>0</v>
      </c>
      <c r="CB67" s="211">
        <f t="shared" si="78"/>
        <v>0</v>
      </c>
    </row>
    <row r="68" spans="2:80" ht="12" thickBot="1">
      <c r="B68" s="81" t="s">
        <v>80</v>
      </c>
      <c r="C68" s="76" t="s">
        <v>92</v>
      </c>
      <c r="J68" s="184">
        <f t="shared" si="67"/>
        <v>0</v>
      </c>
      <c r="AS68" s="184">
        <f t="shared" si="72"/>
        <v>0</v>
      </c>
      <c r="AT68" s="184">
        <f t="shared" si="68"/>
        <v>0</v>
      </c>
      <c r="AU68" s="184">
        <f t="shared" si="68"/>
        <v>0</v>
      </c>
      <c r="AV68" s="184">
        <f t="shared" si="68"/>
        <v>0</v>
      </c>
      <c r="AY68" s="184">
        <f t="shared" si="69"/>
        <v>0</v>
      </c>
      <c r="BA68" s="209"/>
      <c r="BB68" s="401">
        <f t="shared" si="73"/>
        <v>0</v>
      </c>
      <c r="BC68" s="401">
        <f t="shared" si="74"/>
        <v>0</v>
      </c>
      <c r="BK68" s="179">
        <f t="shared" si="75"/>
        <v>0</v>
      </c>
      <c r="BL68" s="401">
        <f t="shared" si="76"/>
        <v>0</v>
      </c>
      <c r="BQ68" s="211">
        <f t="shared" si="78"/>
        <v>0</v>
      </c>
      <c r="BR68" s="211">
        <f t="shared" si="78"/>
        <v>0</v>
      </c>
      <c r="BS68" s="211">
        <f t="shared" si="78"/>
        <v>0</v>
      </c>
      <c r="BT68" s="211">
        <f t="shared" si="78"/>
        <v>0</v>
      </c>
      <c r="BU68" s="211">
        <f t="shared" si="78"/>
        <v>0</v>
      </c>
      <c r="BV68" s="211">
        <f t="shared" si="78"/>
        <v>0</v>
      </c>
      <c r="BW68" s="211">
        <f t="shared" si="78"/>
        <v>0</v>
      </c>
      <c r="BX68" s="211">
        <f t="shared" si="78"/>
        <v>0</v>
      </c>
      <c r="BY68" s="211">
        <f t="shared" si="78"/>
        <v>0</v>
      </c>
      <c r="BZ68" s="211">
        <f t="shared" si="78"/>
        <v>0</v>
      </c>
      <c r="CA68" s="211">
        <f t="shared" si="78"/>
        <v>0</v>
      </c>
      <c r="CB68" s="211">
        <f t="shared" si="78"/>
        <v>0</v>
      </c>
    </row>
    <row r="69" spans="2:80" ht="12" thickBot="1">
      <c r="B69" s="81" t="s">
        <v>81</v>
      </c>
      <c r="C69" s="76" t="s">
        <v>94</v>
      </c>
      <c r="J69" s="184">
        <f t="shared" si="67"/>
        <v>0</v>
      </c>
      <c r="AS69" s="184">
        <f t="shared" si="72"/>
        <v>0</v>
      </c>
      <c r="AT69" s="184">
        <f t="shared" si="68"/>
        <v>0</v>
      </c>
      <c r="AU69" s="184">
        <f t="shared" si="68"/>
        <v>0</v>
      </c>
      <c r="AV69" s="184">
        <f t="shared" si="68"/>
        <v>0</v>
      </c>
      <c r="AY69" s="184">
        <f t="shared" si="69"/>
        <v>0</v>
      </c>
      <c r="BA69" s="209"/>
      <c r="BB69" s="401">
        <f t="shared" si="73"/>
        <v>0</v>
      </c>
      <c r="BC69" s="401">
        <f t="shared" si="74"/>
        <v>0</v>
      </c>
      <c r="BK69" s="179">
        <f t="shared" si="75"/>
        <v>0</v>
      </c>
      <c r="BL69" s="401">
        <f t="shared" si="76"/>
        <v>0</v>
      </c>
      <c r="BQ69" s="211">
        <f t="shared" si="78"/>
        <v>0</v>
      </c>
      <c r="BR69" s="211">
        <f t="shared" si="78"/>
        <v>0</v>
      </c>
      <c r="BS69" s="211">
        <f t="shared" si="78"/>
        <v>0</v>
      </c>
      <c r="BT69" s="211">
        <f t="shared" si="78"/>
        <v>0</v>
      </c>
      <c r="BU69" s="211">
        <f t="shared" si="78"/>
        <v>0</v>
      </c>
      <c r="BV69" s="211">
        <f t="shared" si="78"/>
        <v>0</v>
      </c>
      <c r="BW69" s="211">
        <f t="shared" si="78"/>
        <v>0</v>
      </c>
      <c r="BX69" s="211">
        <f t="shared" si="78"/>
        <v>0</v>
      </c>
      <c r="BY69" s="211">
        <f t="shared" si="78"/>
        <v>0</v>
      </c>
      <c r="BZ69" s="211">
        <f t="shared" si="78"/>
        <v>0</v>
      </c>
      <c r="CA69" s="211">
        <f t="shared" si="78"/>
        <v>0</v>
      </c>
      <c r="CB69" s="211">
        <f t="shared" si="78"/>
        <v>0</v>
      </c>
    </row>
    <row r="70" spans="2:80" ht="12" thickBot="1">
      <c r="B70" s="81" t="s">
        <v>82</v>
      </c>
      <c r="C70" s="76" t="s">
        <v>96</v>
      </c>
      <c r="J70" s="184">
        <f t="shared" si="67"/>
        <v>0.85195628681981372</v>
      </c>
      <c r="O70" s="312" t="s">
        <v>323</v>
      </c>
      <c r="P70" s="312"/>
      <c r="Q70" s="312"/>
      <c r="R70" s="312"/>
      <c r="AS70" s="184">
        <f t="shared" si="72"/>
        <v>0.85195628681981372</v>
      </c>
      <c r="AT70" s="184">
        <f t="shared" si="68"/>
        <v>0.85195628681981372</v>
      </c>
      <c r="AU70" s="184">
        <f t="shared" si="68"/>
        <v>0.85195628681981372</v>
      </c>
      <c r="AV70" s="184">
        <f t="shared" si="68"/>
        <v>0.85195628681981372</v>
      </c>
      <c r="AY70" s="184">
        <f t="shared" si="69"/>
        <v>0.85195628681981372</v>
      </c>
      <c r="BA70" s="209"/>
      <c r="BB70" s="401">
        <f t="shared" si="73"/>
        <v>0</v>
      </c>
      <c r="BC70" s="401">
        <f t="shared" si="74"/>
        <v>0</v>
      </c>
      <c r="BK70" s="179">
        <f t="shared" si="75"/>
        <v>0.85195628681981372</v>
      </c>
      <c r="BL70" s="401">
        <f t="shared" si="76"/>
        <v>0</v>
      </c>
      <c r="BQ70" s="211">
        <f t="shared" si="78"/>
        <v>0.85195628681981372</v>
      </c>
      <c r="BR70" s="211">
        <f t="shared" si="78"/>
        <v>0.85195628681981372</v>
      </c>
      <c r="BS70" s="211">
        <f t="shared" si="78"/>
        <v>0.85195628681981372</v>
      </c>
      <c r="BT70" s="211">
        <f t="shared" si="78"/>
        <v>0.85195628681981372</v>
      </c>
      <c r="BU70" s="211">
        <f t="shared" si="78"/>
        <v>0.85195628681981372</v>
      </c>
      <c r="BV70" s="211">
        <f t="shared" si="78"/>
        <v>0.85195628681981372</v>
      </c>
      <c r="BW70" s="211">
        <f t="shared" si="78"/>
        <v>0.85195628681981372</v>
      </c>
      <c r="BX70" s="211">
        <f t="shared" si="78"/>
        <v>0.85195628681981372</v>
      </c>
      <c r="BY70" s="211">
        <f t="shared" si="78"/>
        <v>0.85195628681981372</v>
      </c>
      <c r="BZ70" s="211">
        <f t="shared" si="78"/>
        <v>0.85195628681981372</v>
      </c>
      <c r="CA70" s="211">
        <f t="shared" si="78"/>
        <v>0.85195628681981372</v>
      </c>
      <c r="CB70" s="211">
        <f t="shared" si="78"/>
        <v>0.85195628681981372</v>
      </c>
    </row>
    <row r="71" spans="2:80" ht="12" thickBot="1">
      <c r="B71" s="119" t="s">
        <v>129</v>
      </c>
      <c r="C71" s="120" t="s">
        <v>129</v>
      </c>
      <c r="J71" s="186">
        <f t="shared" si="67"/>
        <v>0</v>
      </c>
      <c r="AS71" s="186">
        <f t="shared" si="72"/>
        <v>0</v>
      </c>
      <c r="AT71" s="186">
        <f t="shared" si="68"/>
        <v>0</v>
      </c>
      <c r="AU71" s="186">
        <f t="shared" si="68"/>
        <v>0</v>
      </c>
      <c r="AV71" s="186">
        <f t="shared" si="68"/>
        <v>0</v>
      </c>
      <c r="AY71" s="186">
        <f t="shared" si="69"/>
        <v>0</v>
      </c>
      <c r="BA71" s="209"/>
      <c r="BB71" s="401">
        <f t="shared" si="73"/>
        <v>0</v>
      </c>
      <c r="BC71" s="401">
        <f t="shared" si="74"/>
        <v>0</v>
      </c>
      <c r="BK71" s="181">
        <f t="shared" si="75"/>
        <v>0</v>
      </c>
      <c r="BL71" s="401">
        <f t="shared" si="76"/>
        <v>0</v>
      </c>
      <c r="BQ71" s="211">
        <f t="shared" si="78"/>
        <v>0</v>
      </c>
      <c r="BR71" s="211">
        <f t="shared" si="78"/>
        <v>0</v>
      </c>
      <c r="BS71" s="211">
        <f t="shared" si="78"/>
        <v>0</v>
      </c>
      <c r="BT71" s="211">
        <f t="shared" si="78"/>
        <v>0</v>
      </c>
      <c r="BU71" s="211">
        <f t="shared" si="78"/>
        <v>0</v>
      </c>
      <c r="BV71" s="211">
        <f t="shared" si="78"/>
        <v>0</v>
      </c>
      <c r="BW71" s="211">
        <f t="shared" si="78"/>
        <v>0</v>
      </c>
      <c r="BX71" s="211">
        <f t="shared" si="78"/>
        <v>0</v>
      </c>
      <c r="BY71" s="211">
        <f t="shared" si="78"/>
        <v>0</v>
      </c>
      <c r="BZ71" s="211">
        <f t="shared" si="78"/>
        <v>0</v>
      </c>
      <c r="CA71" s="211">
        <f t="shared" si="78"/>
        <v>0</v>
      </c>
      <c r="CB71" s="211">
        <f t="shared" si="78"/>
        <v>0</v>
      </c>
    </row>
    <row r="72" spans="2:80" ht="12" thickBot="1">
      <c r="B72" s="119" t="s">
        <v>326</v>
      </c>
      <c r="C72" s="120" t="s">
        <v>326</v>
      </c>
      <c r="J72" s="186">
        <f t="shared" si="67"/>
        <v>0</v>
      </c>
      <c r="AS72" s="186">
        <f t="shared" si="72"/>
        <v>0</v>
      </c>
      <c r="AT72" s="186">
        <f t="shared" si="68"/>
        <v>0</v>
      </c>
      <c r="AU72" s="186">
        <f t="shared" si="68"/>
        <v>0</v>
      </c>
      <c r="AV72" s="186">
        <f t="shared" si="68"/>
        <v>0</v>
      </c>
      <c r="AY72" s="186">
        <f t="shared" si="69"/>
        <v>0</v>
      </c>
      <c r="BA72" s="209"/>
      <c r="BB72" s="401">
        <f t="shared" si="73"/>
        <v>0</v>
      </c>
      <c r="BC72" s="401">
        <f t="shared" si="74"/>
        <v>0</v>
      </c>
      <c r="BK72" s="181">
        <f t="shared" si="75"/>
        <v>0</v>
      </c>
      <c r="BL72" s="401">
        <f t="shared" si="76"/>
        <v>0</v>
      </c>
      <c r="BQ72" s="211"/>
      <c r="BR72" s="211"/>
      <c r="BS72" s="211"/>
      <c r="BT72" s="211"/>
      <c r="BU72" s="211"/>
      <c r="BV72" s="211"/>
      <c r="BW72" s="211"/>
      <c r="BX72" s="211"/>
      <c r="BY72" s="211"/>
      <c r="BZ72" s="211"/>
      <c r="CA72" s="211"/>
      <c r="CB72" s="211"/>
    </row>
    <row r="73" spans="2:80" ht="12" thickBot="1">
      <c r="B73" s="83" t="s">
        <v>101</v>
      </c>
      <c r="C73" s="84" t="s">
        <v>101</v>
      </c>
      <c r="J73" s="187">
        <f t="shared" si="67"/>
        <v>0</v>
      </c>
      <c r="AS73" s="187">
        <f t="shared" si="72"/>
        <v>0</v>
      </c>
      <c r="AT73" s="187">
        <f t="shared" si="68"/>
        <v>0</v>
      </c>
      <c r="AU73" s="187">
        <f t="shared" si="68"/>
        <v>0</v>
      </c>
      <c r="AV73" s="187">
        <f t="shared" si="68"/>
        <v>0</v>
      </c>
      <c r="AY73" s="187">
        <f t="shared" si="69"/>
        <v>0</v>
      </c>
      <c r="BA73" s="209"/>
      <c r="BB73" s="401">
        <f t="shared" si="73"/>
        <v>0</v>
      </c>
      <c r="BC73" s="401">
        <f t="shared" si="74"/>
        <v>0</v>
      </c>
      <c r="BK73" s="182">
        <f t="shared" si="75"/>
        <v>0</v>
      </c>
      <c r="BL73" s="401">
        <f t="shared" si="76"/>
        <v>0</v>
      </c>
      <c r="BQ73" s="211">
        <f t="shared" si="78"/>
        <v>0</v>
      </c>
      <c r="BR73" s="211">
        <f t="shared" si="78"/>
        <v>0</v>
      </c>
      <c r="BS73" s="211">
        <f t="shared" si="78"/>
        <v>0</v>
      </c>
      <c r="BT73" s="211">
        <f t="shared" si="78"/>
        <v>0</v>
      </c>
      <c r="BU73" s="211">
        <f t="shared" si="78"/>
        <v>0</v>
      </c>
      <c r="BV73" s="211">
        <f t="shared" si="78"/>
        <v>0</v>
      </c>
      <c r="BW73" s="211">
        <f t="shared" si="78"/>
        <v>0</v>
      </c>
      <c r="BX73" s="211">
        <f t="shared" si="78"/>
        <v>0</v>
      </c>
      <c r="BY73" s="211">
        <f t="shared" si="78"/>
        <v>0</v>
      </c>
      <c r="BZ73" s="211">
        <f t="shared" si="78"/>
        <v>0</v>
      </c>
      <c r="CA73" s="211">
        <f t="shared" si="78"/>
        <v>0</v>
      </c>
      <c r="CB73" s="211">
        <f t="shared" si="78"/>
        <v>0</v>
      </c>
    </row>
    <row r="74" spans="2:80">
      <c r="B74" s="89" t="s">
        <v>104</v>
      </c>
      <c r="C74" s="89" t="s">
        <v>104</v>
      </c>
      <c r="J74" s="172">
        <f>SUM(J117:J119)/SUM(J39:J41)</f>
        <v>0.70600492928511649</v>
      </c>
      <c r="AS74" s="172">
        <f>SUM(AS117:AS119)/SUM(AS39:AS41)</f>
        <v>0.70081768972691649</v>
      </c>
      <c r="AT74" s="172">
        <f>SUM(AT117:AT119)/SUM(AT39:AT41)</f>
        <v>0.70081768972691649</v>
      </c>
      <c r="AU74" s="172">
        <f>SUM(AU117:AU119)/SUM(AU39:AU41)</f>
        <v>0.70081768972691649</v>
      </c>
      <c r="AV74" s="172">
        <f>SUM(AV117:AV119)/SUM(AV39:AV41)</f>
        <v>0.70081768972691649</v>
      </c>
      <c r="AY74" s="172">
        <f>SUM(AY117:AY119)/SUM(AY39:AY41)</f>
        <v>0.704256766677405</v>
      </c>
      <c r="BA74" s="209"/>
      <c r="BK74" s="172">
        <f>IFERROR(BK113/BK33,0)</f>
        <v>0.70549409519615303</v>
      </c>
      <c r="BL74" s="209"/>
      <c r="BQ74" s="172">
        <f t="shared" ref="BQ74:CB74" si="79">IFERROR(BQ113/BQ33,0)</f>
        <v>0.74886296129616858</v>
      </c>
      <c r="BR74" s="172">
        <f t="shared" si="79"/>
        <v>0.71310832899046117</v>
      </c>
      <c r="BS74" s="172">
        <f t="shared" si="79"/>
        <v>0.71031050614996538</v>
      </c>
      <c r="BT74" s="172">
        <f t="shared" si="79"/>
        <v>0.69893771983190833</v>
      </c>
      <c r="BU74" s="172">
        <f t="shared" si="79"/>
        <v>0.69295687080845048</v>
      </c>
      <c r="BV74" s="172">
        <f t="shared" si="79"/>
        <v>0.70042670232613857</v>
      </c>
      <c r="BW74" s="172">
        <f t="shared" si="79"/>
        <v>0.69968944909710873</v>
      </c>
      <c r="BX74" s="172">
        <f t="shared" si="79"/>
        <v>0.69472094416470231</v>
      </c>
      <c r="BY74" s="172">
        <f t="shared" si="79"/>
        <v>0.70196060343098798</v>
      </c>
      <c r="BZ74" s="172">
        <f t="shared" si="79"/>
        <v>0.70196060343098798</v>
      </c>
      <c r="CA74" s="172">
        <f t="shared" si="79"/>
        <v>0.70196060343098798</v>
      </c>
      <c r="CB74" s="172">
        <f t="shared" si="79"/>
        <v>0.70196060343098798</v>
      </c>
    </row>
    <row r="75" spans="2:80">
      <c r="J75" s="95"/>
      <c r="AS75" s="209"/>
      <c r="AT75" s="209"/>
      <c r="AU75" s="209"/>
      <c r="AV75" s="209"/>
      <c r="AY75" s="209"/>
      <c r="BK75" s="95"/>
    </row>
    <row r="76" spans="2:80">
      <c r="J76" s="95"/>
      <c r="AS76" s="209"/>
      <c r="AT76" s="209"/>
      <c r="AU76" s="209"/>
      <c r="AV76" s="209"/>
      <c r="AY76" s="209"/>
      <c r="BK76" s="95"/>
    </row>
    <row r="77" spans="2:80">
      <c r="J77" s="95"/>
      <c r="AS77" s="209"/>
      <c r="AT77" s="209"/>
      <c r="AU77" s="209"/>
      <c r="AV77" s="209"/>
      <c r="AY77" s="209"/>
      <c r="BK77" s="95"/>
    </row>
    <row r="78" spans="2:80">
      <c r="C78" s="76" t="s">
        <v>261</v>
      </c>
      <c r="J78" s="188">
        <f>IFERROR(J117/J39,0)</f>
        <v>0.81342550047182827</v>
      </c>
      <c r="AS78" s="210">
        <f t="shared" ref="AS78:AV80" si="80">IFERROR(AS117/AS39,0)</f>
        <v>0.81173644322962191</v>
      </c>
      <c r="AT78" s="210">
        <f t="shared" si="80"/>
        <v>0.81173644322962191</v>
      </c>
      <c r="AU78" s="210">
        <f t="shared" si="80"/>
        <v>0.81173644322962191</v>
      </c>
      <c r="AV78" s="210">
        <f t="shared" si="80"/>
        <v>0.81173644322962191</v>
      </c>
      <c r="AY78" s="210">
        <f>IFERROR(AY117/BC39,0)</f>
        <v>0.7243884109155827</v>
      </c>
      <c r="BK78" s="188">
        <f>IFERROR(BK117/BK39,0)</f>
        <v>0.81425442784282409</v>
      </c>
      <c r="BQ78" s="188">
        <f t="shared" ref="BQ78:CB78" si="81">IFERROR(BQ117/BQ39,0)</f>
        <v>0.82142039895232755</v>
      </c>
      <c r="BR78" s="188">
        <f t="shared" si="81"/>
        <v>0.81171035260989655</v>
      </c>
      <c r="BS78" s="188">
        <f t="shared" si="81"/>
        <v>0.81790053682359598</v>
      </c>
      <c r="BT78" s="188">
        <f t="shared" si="81"/>
        <v>0.80867458186580643</v>
      </c>
      <c r="BU78" s="188">
        <f t="shared" si="81"/>
        <v>0.80624723937576104</v>
      </c>
      <c r="BV78" s="188">
        <f t="shared" si="81"/>
        <v>0.81468684202318375</v>
      </c>
      <c r="BW78" s="188">
        <f t="shared" si="81"/>
        <v>0.81798385606533541</v>
      </c>
      <c r="BX78" s="188">
        <f t="shared" si="81"/>
        <v>0.81977735259868745</v>
      </c>
      <c r="BY78" s="188">
        <f t="shared" si="81"/>
        <v>0.81311918633521207</v>
      </c>
      <c r="BZ78" s="188">
        <f t="shared" si="81"/>
        <v>0.81311918633521207</v>
      </c>
      <c r="CA78" s="188">
        <f t="shared" si="81"/>
        <v>0.81311918633521207</v>
      </c>
      <c r="CB78" s="188">
        <f t="shared" si="81"/>
        <v>0.81311918633521207</v>
      </c>
    </row>
    <row r="79" spans="2:80">
      <c r="C79" s="120" t="s">
        <v>262</v>
      </c>
      <c r="J79" s="188">
        <f>IFERROR(J118/J40,0)</f>
        <v>0.45507676449877194</v>
      </c>
      <c r="AS79" s="210">
        <f t="shared" si="80"/>
        <v>0.45507676449877194</v>
      </c>
      <c r="AT79" s="210">
        <f t="shared" si="80"/>
        <v>0.45507676449877194</v>
      </c>
      <c r="AU79" s="210">
        <f t="shared" si="80"/>
        <v>0.45507676449877194</v>
      </c>
      <c r="AV79" s="210">
        <f t="shared" si="80"/>
        <v>0.45507676449877194</v>
      </c>
      <c r="AY79" s="210">
        <f>IFERROR(AY118/BC40,0)</f>
        <v>0.45507676449877194</v>
      </c>
      <c r="BK79" s="188">
        <f>IFERROR(BK118/BK40,0)</f>
        <v>0.45507676449877194</v>
      </c>
      <c r="BQ79" s="188">
        <f t="shared" ref="BQ79:CB79" si="82">IFERROR(BQ118/BQ40,0)</f>
        <v>0.45507676449877199</v>
      </c>
      <c r="BR79" s="188">
        <f t="shared" si="82"/>
        <v>0.45507676449877194</v>
      </c>
      <c r="BS79" s="188">
        <f t="shared" si="82"/>
        <v>0.45507676449877194</v>
      </c>
      <c r="BT79" s="188">
        <f t="shared" si="82"/>
        <v>0.45507676449877194</v>
      </c>
      <c r="BU79" s="188">
        <f t="shared" si="82"/>
        <v>0.45507676449877194</v>
      </c>
      <c r="BV79" s="188">
        <f t="shared" si="82"/>
        <v>0.45507676449877194</v>
      </c>
      <c r="BW79" s="188">
        <f t="shared" si="82"/>
        <v>0.45507676449877194</v>
      </c>
      <c r="BX79" s="188">
        <f t="shared" si="82"/>
        <v>0.45507676449877194</v>
      </c>
      <c r="BY79" s="188">
        <f t="shared" si="82"/>
        <v>0.45507676449877194</v>
      </c>
      <c r="BZ79" s="188">
        <f t="shared" si="82"/>
        <v>0.45507676449877194</v>
      </c>
      <c r="CA79" s="188">
        <f t="shared" si="82"/>
        <v>0.45507676449877194</v>
      </c>
      <c r="CB79" s="188">
        <f t="shared" si="82"/>
        <v>0.45507676449877194</v>
      </c>
    </row>
    <row r="80" spans="2:80" ht="12" thickBot="1">
      <c r="C80" s="84" t="s">
        <v>263</v>
      </c>
      <c r="D80" s="116"/>
      <c r="E80" s="116"/>
      <c r="F80" s="116"/>
      <c r="G80" s="116"/>
      <c r="J80" s="188">
        <f>IFERROR(J119/J41,0)</f>
        <v>0.45249485708634157</v>
      </c>
      <c r="AS80" s="210">
        <f t="shared" si="80"/>
        <v>0.45249485708634157</v>
      </c>
      <c r="AT80" s="210">
        <f t="shared" si="80"/>
        <v>0.45249485708634157</v>
      </c>
      <c r="AU80" s="210">
        <f t="shared" si="80"/>
        <v>0.45249485708634157</v>
      </c>
      <c r="AV80" s="210">
        <f t="shared" si="80"/>
        <v>0.45249485708634157</v>
      </c>
      <c r="AY80" s="210">
        <f>IFERROR(AY119/BC41,0)</f>
        <v>0.45249485708634163</v>
      </c>
      <c r="BK80" s="188">
        <f>IFERROR(BK119/BK41,0)</f>
        <v>0.45249485708634163</v>
      </c>
      <c r="BQ80" s="188">
        <f t="shared" ref="BQ80:CB80" si="83">IFERROR(BQ119/BQ41,0)</f>
        <v>0.45249485708634163</v>
      </c>
      <c r="BR80" s="188">
        <f t="shared" si="83"/>
        <v>0.45249485708634163</v>
      </c>
      <c r="BS80" s="188">
        <f t="shared" si="83"/>
        <v>0.45249485708634163</v>
      </c>
      <c r="BT80" s="188">
        <f t="shared" si="83"/>
        <v>0.45249485708634163</v>
      </c>
      <c r="BU80" s="188">
        <f t="shared" si="83"/>
        <v>0.45249485708634163</v>
      </c>
      <c r="BV80" s="188">
        <f t="shared" si="83"/>
        <v>0.45249485708634163</v>
      </c>
      <c r="BW80" s="188">
        <f t="shared" si="83"/>
        <v>0.45249485708634163</v>
      </c>
      <c r="BX80" s="188">
        <f t="shared" si="83"/>
        <v>0.45249485708634163</v>
      </c>
      <c r="BY80" s="188">
        <f t="shared" si="83"/>
        <v>0.45249485708634163</v>
      </c>
      <c r="BZ80" s="188">
        <f t="shared" si="83"/>
        <v>0.45249485708634163</v>
      </c>
      <c r="CA80" s="188">
        <f t="shared" si="83"/>
        <v>0.45249485708634163</v>
      </c>
      <c r="CB80" s="188">
        <f t="shared" si="83"/>
        <v>0.45249485708634163</v>
      </c>
    </row>
    <row r="81" spans="2:82">
      <c r="C81" s="89" t="s">
        <v>328</v>
      </c>
      <c r="D81" s="116"/>
      <c r="E81" s="116"/>
      <c r="F81" s="116"/>
      <c r="G81" s="116"/>
      <c r="J81" s="189">
        <f>SUM(J117:J119)/SUM(J39:J41)</f>
        <v>0.70600492928511649</v>
      </c>
      <c r="AS81" s="189">
        <f>SUM(AS117:AS119)/SUM(AS39:AS41)</f>
        <v>0.70081768972691649</v>
      </c>
      <c r="AT81" s="189">
        <f>SUM(AT117:AT119)/SUM(AT39:AT41)</f>
        <v>0.70081768972691649</v>
      </c>
      <c r="AU81" s="189">
        <f>SUM(AU117:AU119)/SUM(AU39:AU41)</f>
        <v>0.70081768972691649</v>
      </c>
      <c r="AV81" s="189">
        <f>SUM(AV117:AV119)/SUM(AV39:AV41)</f>
        <v>0.70081768972691649</v>
      </c>
      <c r="AY81" s="189">
        <f>SUM(AY117:AY119)/SUM(AY39:AY41)</f>
        <v>0.704256766677405</v>
      </c>
      <c r="BK81" s="189">
        <f>IFERROR(BK121/BK42,0)</f>
        <v>0.70549409519615303</v>
      </c>
      <c r="BQ81" s="189">
        <f t="shared" ref="BQ81:CB81" si="84">IFERROR(BQ121/BQ42,0)</f>
        <v>0.74886296129616858</v>
      </c>
      <c r="BR81" s="189">
        <f t="shared" si="84"/>
        <v>0.71310832899046117</v>
      </c>
      <c r="BS81" s="189">
        <f t="shared" si="84"/>
        <v>0.71031050614996527</v>
      </c>
      <c r="BT81" s="189">
        <f t="shared" si="84"/>
        <v>0.69893771983190844</v>
      </c>
      <c r="BU81" s="189">
        <f t="shared" si="84"/>
        <v>0.69295687080845048</v>
      </c>
      <c r="BV81" s="189">
        <f t="shared" si="84"/>
        <v>0.70042670232613868</v>
      </c>
      <c r="BW81" s="189">
        <f t="shared" si="84"/>
        <v>0.69968944909710862</v>
      </c>
      <c r="BX81" s="189">
        <f t="shared" si="84"/>
        <v>0.69472094416470231</v>
      </c>
      <c r="BY81" s="189">
        <f t="shared" si="84"/>
        <v>0.70196060343098798</v>
      </c>
      <c r="BZ81" s="189">
        <f t="shared" si="84"/>
        <v>0.70196060343098798</v>
      </c>
      <c r="CA81" s="189">
        <f t="shared" si="84"/>
        <v>0.70196060343098798</v>
      </c>
      <c r="CB81" s="189">
        <f t="shared" si="84"/>
        <v>0.70196060343098798</v>
      </c>
    </row>
    <row r="82" spans="2:82">
      <c r="J82" s="157">
        <f>J74-J81</f>
        <v>0</v>
      </c>
      <c r="AS82" s="157">
        <f>AS74-AS81</f>
        <v>0</v>
      </c>
      <c r="AT82" s="157">
        <f>AT74-AT81</f>
        <v>0</v>
      </c>
      <c r="AU82" s="157">
        <f>AU74-AU81</f>
        <v>0</v>
      </c>
      <c r="AV82" s="157">
        <f>AV74-AV81</f>
        <v>0</v>
      </c>
      <c r="AY82" s="157">
        <f>AY74-AY81</f>
        <v>0</v>
      </c>
      <c r="BK82" s="190">
        <f>BK74-BK81</f>
        <v>0</v>
      </c>
      <c r="BQ82" s="190">
        <f t="shared" ref="BQ82:CB82" si="85">BQ74-BQ81</f>
        <v>0</v>
      </c>
      <c r="BR82" s="190">
        <f t="shared" si="85"/>
        <v>0</v>
      </c>
      <c r="BS82" s="190">
        <f t="shared" si="85"/>
        <v>0</v>
      </c>
      <c r="BT82" s="190">
        <f t="shared" si="85"/>
        <v>0</v>
      </c>
      <c r="BU82" s="190">
        <f t="shared" si="85"/>
        <v>0</v>
      </c>
      <c r="BV82" s="190">
        <f t="shared" si="85"/>
        <v>0</v>
      </c>
      <c r="BW82" s="190">
        <f t="shared" si="85"/>
        <v>0</v>
      </c>
      <c r="BX82" s="190">
        <f t="shared" si="85"/>
        <v>0</v>
      </c>
      <c r="BY82" s="190">
        <f t="shared" si="85"/>
        <v>0</v>
      </c>
      <c r="BZ82" s="190">
        <f t="shared" si="85"/>
        <v>0</v>
      </c>
      <c r="CA82" s="190">
        <f t="shared" si="85"/>
        <v>0</v>
      </c>
      <c r="CB82" s="190">
        <f t="shared" si="85"/>
        <v>0</v>
      </c>
    </row>
    <row r="83" spans="2:82" ht="12" thickBot="1"/>
    <row r="84" spans="2:82" ht="12" thickBot="1">
      <c r="B84" s="54" t="s">
        <v>112</v>
      </c>
      <c r="C84" s="55" t="s">
        <v>113</v>
      </c>
      <c r="D84" s="17">
        <v>81781.94</v>
      </c>
      <c r="J84" s="151" t="s">
        <v>257</v>
      </c>
      <c r="AS84" s="151" t="s">
        <v>259</v>
      </c>
      <c r="AT84" s="151" t="s">
        <v>259</v>
      </c>
      <c r="AU84" s="151" t="s">
        <v>259</v>
      </c>
      <c r="AV84" s="151" t="s">
        <v>259</v>
      </c>
      <c r="AY84" s="151" t="s">
        <v>259</v>
      </c>
      <c r="BK84" s="151" t="s">
        <v>259</v>
      </c>
      <c r="BQ84" s="151" t="s">
        <v>259</v>
      </c>
      <c r="BR84" s="151" t="s">
        <v>259</v>
      </c>
      <c r="BS84" s="151" t="s">
        <v>259</v>
      </c>
      <c r="BT84" s="151" t="s">
        <v>259</v>
      </c>
      <c r="BU84" s="151" t="s">
        <v>259</v>
      </c>
      <c r="BV84" s="151" t="s">
        <v>259</v>
      </c>
      <c r="BW84" s="151" t="s">
        <v>259</v>
      </c>
      <c r="BX84" s="151" t="s">
        <v>259</v>
      </c>
      <c r="BY84" s="151" t="s">
        <v>259</v>
      </c>
      <c r="BZ84" s="151" t="s">
        <v>259</v>
      </c>
      <c r="CA84" s="151" t="s">
        <v>259</v>
      </c>
      <c r="CB84" s="151" t="s">
        <v>259</v>
      </c>
      <c r="CD84" s="62" t="s">
        <v>260</v>
      </c>
    </row>
    <row r="85" spans="2:82">
      <c r="B85" s="73" t="s">
        <v>58</v>
      </c>
      <c r="C85" s="74" t="s">
        <v>83</v>
      </c>
      <c r="D85" s="17">
        <v>81781.94</v>
      </c>
      <c r="J85" s="303">
        <f>SUMIF('Ventas Ene-Ago'!B:B,B85,'Ventas Ene-Ago'!L:L)/1000</f>
        <v>4483.2730100000008</v>
      </c>
      <c r="AS85" s="191">
        <f t="shared" ref="AS85:AV110" si="86">AS5*AS46</f>
        <v>556.726277592771</v>
      </c>
      <c r="AT85" s="191">
        <f t="shared" si="86"/>
        <v>556.726277592771</v>
      </c>
      <c r="AU85" s="191">
        <f t="shared" si="86"/>
        <v>556.726277592771</v>
      </c>
      <c r="AV85" s="191">
        <f t="shared" si="86"/>
        <v>556.726277592771</v>
      </c>
      <c r="AY85" s="321">
        <f t="shared" ref="AY85:AY112" si="87">SUM(J85,AS85:AV85)</f>
        <v>6710.1781203710852</v>
      </c>
      <c r="AZ85" s="116"/>
      <c r="BA85" s="116"/>
      <c r="BF85" s="116"/>
      <c r="BG85" s="116"/>
      <c r="BH85" s="116"/>
      <c r="BI85" s="116"/>
      <c r="BJ85" s="116"/>
      <c r="BK85" s="191">
        <f t="shared" ref="BK85:BK111" si="88">BK5*BK46</f>
        <v>6877.9325733803616</v>
      </c>
      <c r="BP85" s="152">
        <f>BK85-SUM(BQ85:CB85)</f>
        <v>0</v>
      </c>
      <c r="BQ85" s="191">
        <f t="shared" ref="BQ85:CB85" si="89">BQ5*BQ46</f>
        <v>646.52739521890294</v>
      </c>
      <c r="BR85" s="191">
        <f t="shared" si="89"/>
        <v>566.42399260315733</v>
      </c>
      <c r="BS85" s="191">
        <f t="shared" si="89"/>
        <v>609.72358104787656</v>
      </c>
      <c r="BT85" s="191">
        <f t="shared" si="89"/>
        <v>542.2815042204295</v>
      </c>
      <c r="BU85" s="191">
        <f t="shared" si="89"/>
        <v>560.82692583837309</v>
      </c>
      <c r="BV85" s="191">
        <f t="shared" si="89"/>
        <v>560.66947785619209</v>
      </c>
      <c r="BW85" s="191">
        <f t="shared" si="89"/>
        <v>579.72068370007958</v>
      </c>
      <c r="BX85" s="191">
        <f t="shared" si="89"/>
        <v>529.18127476498944</v>
      </c>
      <c r="BY85" s="191">
        <f t="shared" si="89"/>
        <v>570.64443453259025</v>
      </c>
      <c r="BZ85" s="191">
        <f t="shared" si="89"/>
        <v>570.64443453259025</v>
      </c>
      <c r="CA85" s="191">
        <f t="shared" si="89"/>
        <v>570.64443453259025</v>
      </c>
      <c r="CB85" s="191">
        <f t="shared" si="89"/>
        <v>570.64443453259025</v>
      </c>
      <c r="CD85" s="137">
        <f t="shared" ref="CD85:CD113" si="90">IFERROR(BK85/AY85-1,0)</f>
        <v>2.4999999999999911E-2</v>
      </c>
    </row>
    <row r="86" spans="2:82">
      <c r="B86" s="75" t="s">
        <v>59</v>
      </c>
      <c r="C86" s="76" t="s">
        <v>88</v>
      </c>
      <c r="D86" s="17">
        <v>81781.94</v>
      </c>
      <c r="J86" s="304">
        <f>SUMIF('Ventas Ene-Ago'!B:B,B86,'Ventas Ene-Ago'!L:L)/1000</f>
        <v>70.467779999999991</v>
      </c>
      <c r="AS86" s="192">
        <f t="shared" si="86"/>
        <v>7.716308081968426E-2</v>
      </c>
      <c r="AT86" s="192">
        <f t="shared" si="86"/>
        <v>7.716308081968426E-2</v>
      </c>
      <c r="AU86" s="192">
        <f t="shared" si="86"/>
        <v>7.716308081968426E-2</v>
      </c>
      <c r="AV86" s="192">
        <f t="shared" si="86"/>
        <v>7.716308081968426E-2</v>
      </c>
      <c r="AY86" s="322">
        <f t="shared" si="87"/>
        <v>70.77643232327874</v>
      </c>
      <c r="AZ86" s="116"/>
      <c r="BA86" s="116"/>
      <c r="BF86" s="116"/>
      <c r="BG86" s="116"/>
      <c r="BH86" s="116"/>
      <c r="BI86" s="116"/>
      <c r="BJ86" s="116"/>
      <c r="BK86" s="192">
        <f t="shared" si="88"/>
        <v>70.77643232327874</v>
      </c>
      <c r="BP86" s="152">
        <f t="shared" ref="BP86:BP112" si="91">BK86-SUM(BQ86:CB86)</f>
        <v>0</v>
      </c>
      <c r="BQ86" s="192">
        <f t="shared" ref="BQ86:CB86" si="92">BQ6*BQ47</f>
        <v>69.917454474357086</v>
      </c>
      <c r="BR86" s="192">
        <f t="shared" si="92"/>
        <v>0.15732912417549844</v>
      </c>
      <c r="BS86" s="192">
        <f t="shared" si="92"/>
        <v>0.13186922441265844</v>
      </c>
      <c r="BT86" s="192">
        <f t="shared" si="92"/>
        <v>5.0919799525679987E-2</v>
      </c>
      <c r="BU86" s="192">
        <f t="shared" si="92"/>
        <v>6.2017704550507681E-2</v>
      </c>
      <c r="BV86" s="192">
        <f t="shared" si="92"/>
        <v>6.5281794263692294E-2</v>
      </c>
      <c r="BW86" s="192">
        <f t="shared" si="92"/>
        <v>7.5726881345883068E-2</v>
      </c>
      <c r="BX86" s="192">
        <f t="shared" si="92"/>
        <v>7.1809973690061518E-3</v>
      </c>
      <c r="BY86" s="192">
        <f t="shared" si="92"/>
        <v>7.7163080819684288E-2</v>
      </c>
      <c r="BZ86" s="192">
        <f t="shared" si="92"/>
        <v>7.7163080819684288E-2</v>
      </c>
      <c r="CA86" s="192">
        <f t="shared" si="92"/>
        <v>7.7163080819684288E-2</v>
      </c>
      <c r="CB86" s="192">
        <f t="shared" si="92"/>
        <v>7.7163080819684288E-2</v>
      </c>
      <c r="CD86" s="138">
        <f t="shared" si="90"/>
        <v>0</v>
      </c>
    </row>
    <row r="87" spans="2:82">
      <c r="B87" s="75" t="s">
        <v>60</v>
      </c>
      <c r="C87" s="76"/>
      <c r="D87" s="17">
        <v>81781.94</v>
      </c>
      <c r="J87" s="304">
        <f>SUMIF('Ventas Ene-Ago'!B:B,B87,'Ventas Ene-Ago'!L:L)/1000</f>
        <v>0</v>
      </c>
      <c r="AS87" s="192">
        <f t="shared" si="86"/>
        <v>0</v>
      </c>
      <c r="AT87" s="192">
        <f t="shared" si="86"/>
        <v>0</v>
      </c>
      <c r="AU87" s="192">
        <f t="shared" si="86"/>
        <v>0</v>
      </c>
      <c r="AV87" s="192">
        <f t="shared" si="86"/>
        <v>0</v>
      </c>
      <c r="AY87" s="322">
        <f t="shared" si="87"/>
        <v>0</v>
      </c>
      <c r="AZ87" s="116"/>
      <c r="BA87" s="116"/>
      <c r="BF87" s="116"/>
      <c r="BG87" s="116"/>
      <c r="BH87" s="116"/>
      <c r="BI87" s="116"/>
      <c r="BJ87" s="116"/>
      <c r="BK87" s="192">
        <f t="shared" si="88"/>
        <v>0</v>
      </c>
      <c r="BP87" s="152">
        <f t="shared" si="91"/>
        <v>0</v>
      </c>
      <c r="BQ87" s="192">
        <f t="shared" ref="BQ87:CB87" si="93">BQ7*BQ48</f>
        <v>0</v>
      </c>
      <c r="BR87" s="192">
        <f t="shared" si="93"/>
        <v>0</v>
      </c>
      <c r="BS87" s="192">
        <f t="shared" si="93"/>
        <v>0</v>
      </c>
      <c r="BT87" s="192">
        <f t="shared" si="93"/>
        <v>0</v>
      </c>
      <c r="BU87" s="192">
        <f t="shared" si="93"/>
        <v>0</v>
      </c>
      <c r="BV87" s="192">
        <f t="shared" si="93"/>
        <v>0</v>
      </c>
      <c r="BW87" s="192">
        <f t="shared" si="93"/>
        <v>0</v>
      </c>
      <c r="BX87" s="192">
        <f t="shared" si="93"/>
        <v>0</v>
      </c>
      <c r="BY87" s="192">
        <f t="shared" si="93"/>
        <v>0</v>
      </c>
      <c r="BZ87" s="192">
        <f t="shared" si="93"/>
        <v>0</v>
      </c>
      <c r="CA87" s="192">
        <f t="shared" si="93"/>
        <v>0</v>
      </c>
      <c r="CB87" s="192">
        <f t="shared" si="93"/>
        <v>0</v>
      </c>
      <c r="CD87" s="138">
        <f t="shared" si="90"/>
        <v>0</v>
      </c>
    </row>
    <row r="88" spans="2:82">
      <c r="B88" s="81" t="s">
        <v>61</v>
      </c>
      <c r="C88" s="76" t="s">
        <v>95</v>
      </c>
      <c r="D88" s="17">
        <v>81781.94</v>
      </c>
      <c r="J88" s="304">
        <f>SUMIF('Ventas Ene-Ago'!B:B,B88,'Ventas Ene-Ago'!L:L)/1000</f>
        <v>359.12424000000004</v>
      </c>
      <c r="AS88" s="192">
        <f t="shared" si="86"/>
        <v>45.160396434041054</v>
      </c>
      <c r="AT88" s="192">
        <f t="shared" si="86"/>
        <v>45.160396434041054</v>
      </c>
      <c r="AU88" s="192">
        <f t="shared" si="86"/>
        <v>45.160396434041054</v>
      </c>
      <c r="AV88" s="192">
        <f t="shared" si="86"/>
        <v>45.160396434041054</v>
      </c>
      <c r="AY88" s="322">
        <f t="shared" si="87"/>
        <v>539.76582573616429</v>
      </c>
      <c r="AZ88" s="116"/>
      <c r="BA88" s="116"/>
      <c r="BF88" s="116"/>
      <c r="BG88" s="116"/>
      <c r="BH88" s="116"/>
      <c r="BI88" s="116"/>
      <c r="BJ88" s="116"/>
      <c r="BK88" s="192">
        <f t="shared" si="88"/>
        <v>553.25997137956836</v>
      </c>
      <c r="BP88" s="152">
        <f t="shared" si="91"/>
        <v>0</v>
      </c>
      <c r="BQ88" s="192">
        <f t="shared" ref="BQ88:CB88" si="94">BQ8*BQ49</f>
        <v>49.814887284718786</v>
      </c>
      <c r="BR88" s="192">
        <f t="shared" si="94"/>
        <v>48.648300861844646</v>
      </c>
      <c r="BS88" s="192">
        <f t="shared" si="94"/>
        <v>48.180474825636473</v>
      </c>
      <c r="BT88" s="192">
        <f t="shared" si="94"/>
        <v>46.869160198302424</v>
      </c>
      <c r="BU88" s="192">
        <f t="shared" si="94"/>
        <v>48.199748557465277</v>
      </c>
      <c r="BV88" s="192">
        <f t="shared" si="94"/>
        <v>44.41964409860573</v>
      </c>
      <c r="BW88" s="192">
        <f t="shared" si="94"/>
        <v>43.778004044450554</v>
      </c>
      <c r="BX88" s="192">
        <f t="shared" si="94"/>
        <v>38.192126128976263</v>
      </c>
      <c r="BY88" s="192">
        <f t="shared" si="94"/>
        <v>46.289406344892093</v>
      </c>
      <c r="BZ88" s="192">
        <f t="shared" si="94"/>
        <v>46.289406344892093</v>
      </c>
      <c r="CA88" s="192">
        <f t="shared" si="94"/>
        <v>46.289406344892093</v>
      </c>
      <c r="CB88" s="192">
        <f t="shared" si="94"/>
        <v>46.289406344892093</v>
      </c>
      <c r="CD88" s="138">
        <f t="shared" si="90"/>
        <v>2.4999999999999911E-2</v>
      </c>
    </row>
    <row r="89" spans="2:82">
      <c r="B89" s="75" t="s">
        <v>62</v>
      </c>
      <c r="C89" s="76" t="s">
        <v>86</v>
      </c>
      <c r="D89" s="17">
        <v>81781.94</v>
      </c>
      <c r="J89" s="304">
        <f>SUMIF('Ventas Ene-Ago'!B:B,B89,'Ventas Ene-Ago'!L:L)/1000</f>
        <v>117.17299</v>
      </c>
      <c r="AS89" s="192">
        <f t="shared" si="86"/>
        <v>13.888842620117812</v>
      </c>
      <c r="AT89" s="192">
        <f t="shared" si="86"/>
        <v>13.888842620117812</v>
      </c>
      <c r="AU89" s="192">
        <f t="shared" si="86"/>
        <v>13.888842620117812</v>
      </c>
      <c r="AV89" s="192">
        <f t="shared" si="86"/>
        <v>13.888842620117812</v>
      </c>
      <c r="AY89" s="322">
        <f t="shared" si="87"/>
        <v>172.7283604804712</v>
      </c>
      <c r="AZ89" s="116"/>
      <c r="BA89" s="116"/>
      <c r="BF89" s="116"/>
      <c r="BG89" s="116"/>
      <c r="BH89" s="116"/>
      <c r="BI89" s="116"/>
      <c r="BJ89" s="116"/>
      <c r="BK89" s="192">
        <f t="shared" si="88"/>
        <v>0</v>
      </c>
      <c r="BP89" s="152">
        <f t="shared" si="91"/>
        <v>0</v>
      </c>
      <c r="BQ89" s="192">
        <f t="shared" ref="BQ89:CB89" si="95">BQ9*BQ50</f>
        <v>0</v>
      </c>
      <c r="BR89" s="192">
        <f t="shared" si="95"/>
        <v>0</v>
      </c>
      <c r="BS89" s="192">
        <f t="shared" si="95"/>
        <v>0</v>
      </c>
      <c r="BT89" s="192">
        <f t="shared" si="95"/>
        <v>0</v>
      </c>
      <c r="BU89" s="192">
        <f t="shared" si="95"/>
        <v>0</v>
      </c>
      <c r="BV89" s="192">
        <f t="shared" si="95"/>
        <v>0</v>
      </c>
      <c r="BW89" s="192">
        <f t="shared" si="95"/>
        <v>0</v>
      </c>
      <c r="BX89" s="192">
        <f t="shared" si="95"/>
        <v>0</v>
      </c>
      <c r="BY89" s="192">
        <f t="shared" si="95"/>
        <v>0</v>
      </c>
      <c r="BZ89" s="192">
        <f t="shared" si="95"/>
        <v>0</v>
      </c>
      <c r="CA89" s="192">
        <f t="shared" si="95"/>
        <v>0</v>
      </c>
      <c r="CB89" s="192">
        <f t="shared" si="95"/>
        <v>0</v>
      </c>
      <c r="CD89" s="138">
        <f t="shared" si="90"/>
        <v>-1</v>
      </c>
    </row>
    <row r="90" spans="2:82">
      <c r="B90" s="75" t="s">
        <v>63</v>
      </c>
      <c r="C90" s="76" t="s">
        <v>89</v>
      </c>
      <c r="D90" s="17">
        <v>81781.94</v>
      </c>
      <c r="J90" s="304">
        <f>SUMIF('Ventas Ene-Ago'!B:B,B90,'Ventas Ene-Ago'!L:L)/1000</f>
        <v>0</v>
      </c>
      <c r="AS90" s="192">
        <f t="shared" si="86"/>
        <v>0</v>
      </c>
      <c r="AT90" s="192">
        <f t="shared" si="86"/>
        <v>0</v>
      </c>
      <c r="AU90" s="192">
        <f t="shared" si="86"/>
        <v>0</v>
      </c>
      <c r="AV90" s="192">
        <f t="shared" si="86"/>
        <v>0</v>
      </c>
      <c r="AY90" s="322">
        <f t="shared" si="87"/>
        <v>0</v>
      </c>
      <c r="AZ90" s="116"/>
      <c r="BA90" s="116"/>
      <c r="BF90" s="116"/>
      <c r="BG90" s="116"/>
      <c r="BH90" s="116"/>
      <c r="BI90" s="116"/>
      <c r="BJ90" s="116"/>
      <c r="BK90" s="192">
        <f t="shared" si="88"/>
        <v>0</v>
      </c>
      <c r="BP90" s="152">
        <f t="shared" si="91"/>
        <v>0</v>
      </c>
      <c r="BQ90" s="192">
        <f t="shared" ref="BQ90:CB90" si="96">BQ10*BQ51</f>
        <v>0</v>
      </c>
      <c r="BR90" s="192">
        <f t="shared" si="96"/>
        <v>0</v>
      </c>
      <c r="BS90" s="192">
        <f t="shared" si="96"/>
        <v>0</v>
      </c>
      <c r="BT90" s="192">
        <f t="shared" si="96"/>
        <v>0</v>
      </c>
      <c r="BU90" s="192">
        <f t="shared" si="96"/>
        <v>0</v>
      </c>
      <c r="BV90" s="192">
        <f t="shared" si="96"/>
        <v>0</v>
      </c>
      <c r="BW90" s="192">
        <f t="shared" si="96"/>
        <v>0</v>
      </c>
      <c r="BX90" s="192">
        <f t="shared" si="96"/>
        <v>0</v>
      </c>
      <c r="BY90" s="192">
        <f t="shared" si="96"/>
        <v>0</v>
      </c>
      <c r="BZ90" s="192">
        <f t="shared" si="96"/>
        <v>0</v>
      </c>
      <c r="CA90" s="192">
        <f t="shared" si="96"/>
        <v>0</v>
      </c>
      <c r="CB90" s="192">
        <f t="shared" si="96"/>
        <v>0</v>
      </c>
      <c r="CD90" s="138">
        <f t="shared" si="90"/>
        <v>0</v>
      </c>
    </row>
    <row r="91" spans="2:82">
      <c r="B91" s="75" t="s">
        <v>64</v>
      </c>
      <c r="C91" s="76" t="s">
        <v>100</v>
      </c>
      <c r="D91" s="17">
        <v>81781.94</v>
      </c>
      <c r="J91" s="304">
        <f>SUMIF('Ventas Ene-Ago'!B:B,B91,'Ventas Ene-Ago'!L:L)/1000</f>
        <v>148.78331</v>
      </c>
      <c r="AS91" s="192">
        <f t="shared" si="86"/>
        <v>18.575184188547212</v>
      </c>
      <c r="AT91" s="192">
        <f t="shared" si="86"/>
        <v>18.575184188547212</v>
      </c>
      <c r="AU91" s="192">
        <f t="shared" si="86"/>
        <v>18.575184188547212</v>
      </c>
      <c r="AV91" s="192">
        <f t="shared" si="86"/>
        <v>18.575184188547212</v>
      </c>
      <c r="AY91" s="322">
        <f t="shared" si="87"/>
        <v>223.08404675418885</v>
      </c>
      <c r="AZ91" s="116"/>
      <c r="BA91" s="116"/>
      <c r="BF91" s="116"/>
      <c r="BG91" s="116"/>
      <c r="BH91" s="116"/>
      <c r="BI91" s="116"/>
      <c r="BJ91" s="116"/>
      <c r="BK91" s="192">
        <f t="shared" si="88"/>
        <v>223.08404675418885</v>
      </c>
      <c r="BP91" s="152">
        <f t="shared" si="91"/>
        <v>0</v>
      </c>
      <c r="BQ91" s="192">
        <f t="shared" ref="BQ91:CB91" si="97">BQ11*BQ52</f>
        <v>24.413015423615217</v>
      </c>
      <c r="BR91" s="192">
        <f t="shared" si="97"/>
        <v>16.306627313226887</v>
      </c>
      <c r="BS91" s="192">
        <f t="shared" si="97"/>
        <v>18.984316294697418</v>
      </c>
      <c r="BT91" s="192">
        <f t="shared" si="97"/>
        <v>18.037006830277942</v>
      </c>
      <c r="BU91" s="192">
        <f t="shared" si="97"/>
        <v>18.641173237926274</v>
      </c>
      <c r="BV91" s="192">
        <f t="shared" si="97"/>
        <v>18.217376898580721</v>
      </c>
      <c r="BW91" s="192">
        <f t="shared" si="97"/>
        <v>18.996047681253696</v>
      </c>
      <c r="BX91" s="192">
        <f t="shared" si="97"/>
        <v>15.187746320421839</v>
      </c>
      <c r="BY91" s="192">
        <f t="shared" si="97"/>
        <v>18.575184188547208</v>
      </c>
      <c r="BZ91" s="192">
        <f t="shared" si="97"/>
        <v>18.575184188547208</v>
      </c>
      <c r="CA91" s="192">
        <f t="shared" si="97"/>
        <v>18.575184188547208</v>
      </c>
      <c r="CB91" s="192">
        <f t="shared" si="97"/>
        <v>18.575184188547208</v>
      </c>
      <c r="CD91" s="138">
        <f t="shared" si="90"/>
        <v>0</v>
      </c>
    </row>
    <row r="92" spans="2:82">
      <c r="B92" s="75" t="s">
        <v>65</v>
      </c>
      <c r="C92" s="76" t="s">
        <v>84</v>
      </c>
      <c r="D92" s="17">
        <v>81781.94</v>
      </c>
      <c r="J92" s="304">
        <f>SUMIF('Ventas Ene-Ago'!B:B,B92,'Ventas Ene-Ago'!L:L)/1000</f>
        <v>7653.8840799999998</v>
      </c>
      <c r="AS92" s="192">
        <f t="shared" si="86"/>
        <v>965.99943598847108</v>
      </c>
      <c r="AT92" s="192">
        <f t="shared" si="86"/>
        <v>965.99943598847108</v>
      </c>
      <c r="AU92" s="192">
        <f t="shared" si="86"/>
        <v>965.99943598847108</v>
      </c>
      <c r="AV92" s="192">
        <f t="shared" si="86"/>
        <v>965.99943598847108</v>
      </c>
      <c r="AY92" s="322">
        <f t="shared" si="87"/>
        <v>11517.881823953885</v>
      </c>
      <c r="AZ92" s="116"/>
      <c r="BA92" s="116"/>
      <c r="BF92" s="116"/>
      <c r="BG92" s="116"/>
      <c r="BH92" s="116"/>
      <c r="BI92" s="116"/>
      <c r="BJ92" s="116"/>
      <c r="BK92" s="192">
        <f t="shared" si="88"/>
        <v>11468.084034593885</v>
      </c>
      <c r="BP92" s="152">
        <f t="shared" si="91"/>
        <v>0</v>
      </c>
      <c r="BQ92" s="192">
        <f t="shared" ref="BQ92:CB92" si="98">BQ12*BQ53</f>
        <v>1024.0365792511025</v>
      </c>
      <c r="BR92" s="192">
        <f t="shared" si="98"/>
        <v>980.2173357647913</v>
      </c>
      <c r="BS92" s="192">
        <f t="shared" si="98"/>
        <v>995.91166272559656</v>
      </c>
      <c r="BT92" s="192">
        <f t="shared" si="98"/>
        <v>943.21518479336987</v>
      </c>
      <c r="BU92" s="192">
        <f t="shared" si="98"/>
        <v>983.74853881980221</v>
      </c>
      <c r="BV92" s="192">
        <f t="shared" si="98"/>
        <v>923.45964614057925</v>
      </c>
      <c r="BW92" s="192">
        <f t="shared" si="98"/>
        <v>962.77955934025488</v>
      </c>
      <c r="BX92" s="192">
        <f t="shared" si="98"/>
        <v>807.42385430270497</v>
      </c>
      <c r="BY92" s="192">
        <f t="shared" si="98"/>
        <v>961.82291836392051</v>
      </c>
      <c r="BZ92" s="192">
        <f t="shared" si="98"/>
        <v>961.82291836392051</v>
      </c>
      <c r="CA92" s="192">
        <f t="shared" si="98"/>
        <v>961.82291836392051</v>
      </c>
      <c r="CB92" s="192">
        <f t="shared" si="98"/>
        <v>961.82291836392051</v>
      </c>
      <c r="CD92" s="138">
        <f t="shared" si="90"/>
        <v>-4.3235197340222298E-3</v>
      </c>
    </row>
    <row r="93" spans="2:82">
      <c r="B93" s="75" t="s">
        <v>66</v>
      </c>
      <c r="C93" s="76"/>
      <c r="D93" s="17">
        <v>81781.94</v>
      </c>
      <c r="J93" s="304">
        <f>SUMIF('Ventas Ene-Ago'!B:B,B93,'Ventas Ene-Ago'!L:L)/1000</f>
        <v>0</v>
      </c>
      <c r="AS93" s="192">
        <f t="shared" si="86"/>
        <v>0</v>
      </c>
      <c r="AT93" s="192">
        <f t="shared" si="86"/>
        <v>0</v>
      </c>
      <c r="AU93" s="192">
        <f t="shared" si="86"/>
        <v>0</v>
      </c>
      <c r="AV93" s="192">
        <f t="shared" si="86"/>
        <v>0</v>
      </c>
      <c r="AY93" s="322">
        <f t="shared" si="87"/>
        <v>0</v>
      </c>
      <c r="AZ93" s="116"/>
      <c r="BA93" s="116"/>
      <c r="BF93" s="116"/>
      <c r="BG93" s="116"/>
      <c r="BH93" s="116"/>
      <c r="BI93" s="116"/>
      <c r="BJ93" s="116"/>
      <c r="BK93" s="192">
        <f t="shared" si="88"/>
        <v>0</v>
      </c>
      <c r="BP93" s="152">
        <f t="shared" si="91"/>
        <v>0</v>
      </c>
      <c r="BQ93" s="192">
        <f t="shared" ref="BQ93:CB93" si="99">BQ13*BQ54</f>
        <v>0</v>
      </c>
      <c r="BR93" s="192">
        <f t="shared" si="99"/>
        <v>0</v>
      </c>
      <c r="BS93" s="192">
        <f t="shared" si="99"/>
        <v>0</v>
      </c>
      <c r="BT93" s="192">
        <f t="shared" si="99"/>
        <v>0</v>
      </c>
      <c r="BU93" s="192">
        <f t="shared" si="99"/>
        <v>0</v>
      </c>
      <c r="BV93" s="192">
        <f t="shared" si="99"/>
        <v>0</v>
      </c>
      <c r="BW93" s="192">
        <f t="shared" si="99"/>
        <v>0</v>
      </c>
      <c r="BX93" s="192">
        <f t="shared" si="99"/>
        <v>0</v>
      </c>
      <c r="BY93" s="192">
        <f t="shared" si="99"/>
        <v>0</v>
      </c>
      <c r="BZ93" s="192">
        <f t="shared" si="99"/>
        <v>0</v>
      </c>
      <c r="CA93" s="192">
        <f t="shared" si="99"/>
        <v>0</v>
      </c>
      <c r="CB93" s="192">
        <f t="shared" si="99"/>
        <v>0</v>
      </c>
      <c r="CD93" s="138">
        <f t="shared" si="90"/>
        <v>0</v>
      </c>
    </row>
    <row r="94" spans="2:82">
      <c r="B94" s="75" t="s">
        <v>67</v>
      </c>
      <c r="C94" s="76"/>
      <c r="D94" s="17">
        <v>81781.94</v>
      </c>
      <c r="J94" s="304">
        <f>SUMIF('Ventas Ene-Ago'!B:B,B94,'Ventas Ene-Ago'!L:L)/1000</f>
        <v>0</v>
      </c>
      <c r="AS94" s="192">
        <f t="shared" si="86"/>
        <v>0</v>
      </c>
      <c r="AT94" s="192">
        <f t="shared" si="86"/>
        <v>0</v>
      </c>
      <c r="AU94" s="192">
        <f t="shared" si="86"/>
        <v>0</v>
      </c>
      <c r="AV94" s="192">
        <f t="shared" si="86"/>
        <v>0</v>
      </c>
      <c r="AY94" s="322">
        <f t="shared" si="87"/>
        <v>0</v>
      </c>
      <c r="AZ94" s="116"/>
      <c r="BA94" s="116"/>
      <c r="BF94" s="116"/>
      <c r="BG94" s="116"/>
      <c r="BH94" s="116"/>
      <c r="BI94" s="116"/>
      <c r="BJ94" s="116"/>
      <c r="BK94" s="192">
        <f t="shared" si="88"/>
        <v>0</v>
      </c>
      <c r="BP94" s="152">
        <f t="shared" si="91"/>
        <v>0</v>
      </c>
      <c r="BQ94" s="192">
        <f t="shared" ref="BQ94:CB94" si="100">BQ14*BQ55</f>
        <v>0</v>
      </c>
      <c r="BR94" s="192">
        <f t="shared" si="100"/>
        <v>0</v>
      </c>
      <c r="BS94" s="192">
        <f t="shared" si="100"/>
        <v>0</v>
      </c>
      <c r="BT94" s="192">
        <f t="shared" si="100"/>
        <v>0</v>
      </c>
      <c r="BU94" s="192">
        <f t="shared" si="100"/>
        <v>0</v>
      </c>
      <c r="BV94" s="192">
        <f t="shared" si="100"/>
        <v>0</v>
      </c>
      <c r="BW94" s="192">
        <f t="shared" si="100"/>
        <v>0</v>
      </c>
      <c r="BX94" s="192">
        <f t="shared" si="100"/>
        <v>0</v>
      </c>
      <c r="BY94" s="192">
        <f t="shared" si="100"/>
        <v>0</v>
      </c>
      <c r="BZ94" s="192">
        <f t="shared" si="100"/>
        <v>0</v>
      </c>
      <c r="CA94" s="192">
        <f t="shared" si="100"/>
        <v>0</v>
      </c>
      <c r="CB94" s="192">
        <f t="shared" si="100"/>
        <v>0</v>
      </c>
      <c r="CD94" s="138">
        <f t="shared" si="90"/>
        <v>0</v>
      </c>
    </row>
    <row r="95" spans="2:82">
      <c r="B95" s="75" t="s">
        <v>68</v>
      </c>
      <c r="C95" s="76" t="s">
        <v>93</v>
      </c>
      <c r="D95" s="17">
        <v>81781.94</v>
      </c>
      <c r="J95" s="304">
        <f>SUMIF('Ventas Ene-Ago'!B:B,B95,'Ventas Ene-Ago'!L:L)/1000</f>
        <v>29.40063</v>
      </c>
      <c r="AS95" s="192">
        <f t="shared" si="86"/>
        <v>3.6864236201606735</v>
      </c>
      <c r="AT95" s="192">
        <f t="shared" si="86"/>
        <v>3.6864236201606735</v>
      </c>
      <c r="AU95" s="192">
        <f t="shared" si="86"/>
        <v>3.6864236201606735</v>
      </c>
      <c r="AV95" s="192">
        <f t="shared" si="86"/>
        <v>3.6864236201606735</v>
      </c>
      <c r="AY95" s="322">
        <f t="shared" si="87"/>
        <v>44.146324480642697</v>
      </c>
      <c r="AZ95" s="116"/>
      <c r="BA95" s="116"/>
      <c r="BF95" s="116"/>
      <c r="BG95" s="116"/>
      <c r="BH95" s="116"/>
      <c r="BI95" s="116"/>
      <c r="BJ95" s="116"/>
      <c r="BK95" s="192">
        <f t="shared" si="88"/>
        <v>45.249982592658753</v>
      </c>
      <c r="BP95" s="152">
        <f t="shared" si="91"/>
        <v>0</v>
      </c>
      <c r="BQ95" s="192">
        <f t="shared" ref="BQ95:CB95" si="101">BQ15*BQ56</f>
        <v>4.1908089148698648</v>
      </c>
      <c r="BR95" s="192">
        <f t="shared" si="101"/>
        <v>4.4536768421891066</v>
      </c>
      <c r="BS95" s="192">
        <f t="shared" si="101"/>
        <v>4.2397410398686848</v>
      </c>
      <c r="BT95" s="192">
        <f t="shared" si="101"/>
        <v>3.9566743865324874</v>
      </c>
      <c r="BU95" s="192">
        <f t="shared" si="101"/>
        <v>4.101194848738305</v>
      </c>
      <c r="BV95" s="192">
        <f t="shared" si="101"/>
        <v>3.4482923669226548</v>
      </c>
      <c r="BW95" s="192">
        <f t="shared" si="101"/>
        <v>3.1470184112613158</v>
      </c>
      <c r="BX95" s="192">
        <f t="shared" si="101"/>
        <v>2.5982389396175734</v>
      </c>
      <c r="BY95" s="192">
        <f t="shared" si="101"/>
        <v>3.7785842106646901</v>
      </c>
      <c r="BZ95" s="192">
        <f t="shared" si="101"/>
        <v>3.7785842106646901</v>
      </c>
      <c r="CA95" s="192">
        <f t="shared" si="101"/>
        <v>3.7785842106646901</v>
      </c>
      <c r="CB95" s="192">
        <f t="shared" si="101"/>
        <v>3.7785842106646901</v>
      </c>
      <c r="CD95" s="138">
        <f t="shared" si="90"/>
        <v>2.4999999999999689E-2</v>
      </c>
    </row>
    <row r="96" spans="2:82">
      <c r="B96" s="75" t="s">
        <v>69</v>
      </c>
      <c r="C96" s="76" t="s">
        <v>91</v>
      </c>
      <c r="D96" s="17">
        <v>81781.94</v>
      </c>
      <c r="J96" s="304">
        <f>SUMIF('Ventas Ene-Ago'!B:B,B96,'Ventas Ene-Ago'!L:L)/1000</f>
        <v>136.4487</v>
      </c>
      <c r="AS96" s="192">
        <f t="shared" si="86"/>
        <v>17.17555559533233</v>
      </c>
      <c r="AT96" s="192">
        <f t="shared" si="86"/>
        <v>17.17555559533233</v>
      </c>
      <c r="AU96" s="192">
        <f t="shared" si="86"/>
        <v>17.17555559533233</v>
      </c>
      <c r="AV96" s="192">
        <f t="shared" si="86"/>
        <v>17.17555559533233</v>
      </c>
      <c r="AY96" s="322">
        <f t="shared" si="87"/>
        <v>205.15092238132931</v>
      </c>
      <c r="AZ96" s="116"/>
      <c r="BA96" s="116"/>
      <c r="BF96" s="116"/>
      <c r="BG96" s="116"/>
      <c r="BH96" s="116"/>
      <c r="BI96" s="116"/>
      <c r="BJ96" s="116"/>
      <c r="BK96" s="192">
        <f t="shared" si="88"/>
        <v>210.27969544086253</v>
      </c>
      <c r="BP96" s="152">
        <f t="shared" si="91"/>
        <v>0</v>
      </c>
      <c r="BQ96" s="192">
        <f t="shared" ref="BQ96:CB96" si="102">BQ16*BQ57</f>
        <v>19.947383238986621</v>
      </c>
      <c r="BR96" s="192">
        <f t="shared" si="102"/>
        <v>21.451348554834869</v>
      </c>
      <c r="BS96" s="192">
        <f t="shared" si="102"/>
        <v>20.503663048902855</v>
      </c>
      <c r="BT96" s="192">
        <f t="shared" si="102"/>
        <v>18.548337813802306</v>
      </c>
      <c r="BU96" s="192">
        <f t="shared" si="102"/>
        <v>19.476265677985911</v>
      </c>
      <c r="BV96" s="192">
        <f t="shared" si="102"/>
        <v>15.908989395412215</v>
      </c>
      <c r="BW96" s="192">
        <f t="shared" si="102"/>
        <v>13.587466489974885</v>
      </c>
      <c r="BX96" s="192">
        <f t="shared" si="102"/>
        <v>10.436463280100297</v>
      </c>
      <c r="BY96" s="192">
        <f t="shared" si="102"/>
        <v>17.604944485215633</v>
      </c>
      <c r="BZ96" s="192">
        <f t="shared" si="102"/>
        <v>17.604944485215633</v>
      </c>
      <c r="CA96" s="192">
        <f t="shared" si="102"/>
        <v>17.604944485215633</v>
      </c>
      <c r="CB96" s="192">
        <f t="shared" si="102"/>
        <v>17.604944485215633</v>
      </c>
      <c r="CD96" s="138">
        <f t="shared" si="90"/>
        <v>2.4999999999999911E-2</v>
      </c>
    </row>
    <row r="97" spans="2:82">
      <c r="B97" s="75" t="s">
        <v>70</v>
      </c>
      <c r="C97" s="76" t="s">
        <v>70</v>
      </c>
      <c r="D97" s="17">
        <v>81781.94</v>
      </c>
      <c r="J97" s="305">
        <f>SUMIF('Ventas Ene-Ago'!B:B,B97,'Ventas Ene-Ago'!L:L)/1000</f>
        <v>31.934980000000003</v>
      </c>
      <c r="AS97" s="193">
        <f t="shared" si="86"/>
        <v>4.3159771901247135</v>
      </c>
      <c r="AT97" s="193">
        <f t="shared" si="86"/>
        <v>4.3159771901247135</v>
      </c>
      <c r="AU97" s="193">
        <f t="shared" si="86"/>
        <v>4.3159771901247135</v>
      </c>
      <c r="AV97" s="193">
        <f t="shared" si="86"/>
        <v>4.3159771901247135</v>
      </c>
      <c r="AY97" s="323">
        <f t="shared" si="87"/>
        <v>49.198888760498853</v>
      </c>
      <c r="AZ97" s="116"/>
      <c r="BA97" s="116"/>
      <c r="BF97" s="116"/>
      <c r="BG97" s="116"/>
      <c r="BH97" s="116"/>
      <c r="BI97" s="116"/>
      <c r="BJ97" s="116"/>
      <c r="BK97" s="193">
        <f t="shared" si="88"/>
        <v>49.198888760498853</v>
      </c>
      <c r="BP97" s="152">
        <f t="shared" si="91"/>
        <v>0</v>
      </c>
      <c r="BQ97" s="193">
        <f t="shared" ref="BQ97:CB97" si="103">BQ17*BQ58</f>
        <v>4.3789693242555359</v>
      </c>
      <c r="BR97" s="193">
        <f t="shared" si="103"/>
        <v>3.3060710397047597</v>
      </c>
      <c r="BS97" s="193">
        <f t="shared" si="103"/>
        <v>4.2326650127258851</v>
      </c>
      <c r="BT97" s="193">
        <f t="shared" si="103"/>
        <v>4.9966986396029531</v>
      </c>
      <c r="BU97" s="193">
        <f t="shared" si="103"/>
        <v>4.1981209391702725</v>
      </c>
      <c r="BV97" s="193">
        <f t="shared" si="103"/>
        <v>4.031496584372614</v>
      </c>
      <c r="BW97" s="193">
        <f t="shared" si="103"/>
        <v>4.1209047747518461</v>
      </c>
      <c r="BX97" s="193">
        <f t="shared" si="103"/>
        <v>2.670053685416137</v>
      </c>
      <c r="BY97" s="193">
        <f t="shared" si="103"/>
        <v>4.3159771901247135</v>
      </c>
      <c r="BZ97" s="193">
        <f t="shared" si="103"/>
        <v>4.3159771901247135</v>
      </c>
      <c r="CA97" s="193">
        <f t="shared" si="103"/>
        <v>4.3159771901247135</v>
      </c>
      <c r="CB97" s="193">
        <f t="shared" si="103"/>
        <v>4.3159771901247135</v>
      </c>
      <c r="CD97" s="138">
        <f t="shared" si="90"/>
        <v>0</v>
      </c>
    </row>
    <row r="98" spans="2:82">
      <c r="B98" s="75" t="s">
        <v>71</v>
      </c>
      <c r="C98" s="76" t="s">
        <v>97</v>
      </c>
      <c r="D98" s="17">
        <v>81781.94</v>
      </c>
      <c r="J98" s="304">
        <f>SUMIF('Ventas Ene-Ago'!B:B,B98,'Ventas Ene-Ago'!L:L)/1000</f>
        <v>15.272039999999999</v>
      </c>
      <c r="AS98" s="192">
        <f t="shared" si="86"/>
        <v>2.00027199725369</v>
      </c>
      <c r="AT98" s="192">
        <f t="shared" si="86"/>
        <v>2.00027199725369</v>
      </c>
      <c r="AU98" s="192">
        <f t="shared" si="86"/>
        <v>2.00027199725369</v>
      </c>
      <c r="AV98" s="192">
        <f t="shared" si="86"/>
        <v>2.00027199725369</v>
      </c>
      <c r="AY98" s="322">
        <f t="shared" si="87"/>
        <v>23.27312798901476</v>
      </c>
      <c r="AZ98" s="116"/>
      <c r="BA98" s="116"/>
      <c r="BF98" s="116"/>
      <c r="BG98" s="116"/>
      <c r="BH98" s="116"/>
      <c r="BI98" s="116"/>
      <c r="BJ98" s="116"/>
      <c r="BK98" s="192">
        <f t="shared" si="88"/>
        <v>23.27312798901476</v>
      </c>
      <c r="BP98" s="152">
        <f t="shared" si="91"/>
        <v>0</v>
      </c>
      <c r="BQ98" s="192">
        <f t="shared" ref="BQ98:CB98" si="104">BQ18*BQ59</f>
        <v>1.899611795399931</v>
      </c>
      <c r="BR98" s="192">
        <f t="shared" si="104"/>
        <v>1.7580583865430823</v>
      </c>
      <c r="BS98" s="192">
        <f t="shared" si="104"/>
        <v>2.0516506419498795</v>
      </c>
      <c r="BT98" s="192">
        <f t="shared" si="104"/>
        <v>1.8978642224510811</v>
      </c>
      <c r="BU98" s="192">
        <f t="shared" si="104"/>
        <v>1.9922331616889799</v>
      </c>
      <c r="BV98" s="192">
        <f t="shared" si="104"/>
        <v>1.9258253896326809</v>
      </c>
      <c r="BW98" s="192">
        <f t="shared" si="104"/>
        <v>2.133786570545829</v>
      </c>
      <c r="BX98" s="192">
        <f t="shared" si="104"/>
        <v>1.613009831788534</v>
      </c>
      <c r="BY98" s="192">
        <f t="shared" si="104"/>
        <v>2.00027199725369</v>
      </c>
      <c r="BZ98" s="192">
        <f t="shared" si="104"/>
        <v>2.00027199725369</v>
      </c>
      <c r="CA98" s="192">
        <f t="shared" si="104"/>
        <v>2.00027199725369</v>
      </c>
      <c r="CB98" s="192">
        <f t="shared" si="104"/>
        <v>2.00027199725369</v>
      </c>
      <c r="CD98" s="138">
        <f t="shared" si="90"/>
        <v>0</v>
      </c>
    </row>
    <row r="99" spans="2:82">
      <c r="B99" s="75" t="s">
        <v>72</v>
      </c>
      <c r="C99" s="76" t="s">
        <v>85</v>
      </c>
      <c r="D99" s="17">
        <v>81781.94</v>
      </c>
      <c r="J99" s="304">
        <f>SUMIF('Ventas Ene-Ago'!B:B,B99,'Ventas Ene-Ago'!L:L)/1000</f>
        <v>0</v>
      </c>
      <c r="AS99" s="192">
        <f t="shared" si="86"/>
        <v>0</v>
      </c>
      <c r="AT99" s="192">
        <f t="shared" si="86"/>
        <v>0</v>
      </c>
      <c r="AU99" s="192">
        <f t="shared" si="86"/>
        <v>0</v>
      </c>
      <c r="AV99" s="192">
        <f t="shared" si="86"/>
        <v>0</v>
      </c>
      <c r="AY99" s="322">
        <f t="shared" si="87"/>
        <v>0</v>
      </c>
      <c r="AZ99" s="116"/>
      <c r="BA99" s="116"/>
      <c r="BF99" s="116"/>
      <c r="BG99" s="116"/>
      <c r="BH99" s="116"/>
      <c r="BI99" s="116"/>
      <c r="BJ99" s="116"/>
      <c r="BK99" s="192">
        <f t="shared" si="88"/>
        <v>0</v>
      </c>
      <c r="BP99" s="152">
        <f t="shared" si="91"/>
        <v>0</v>
      </c>
      <c r="BQ99" s="192">
        <f t="shared" ref="BQ99:CB99" si="105">BQ19*BQ60</f>
        <v>0</v>
      </c>
      <c r="BR99" s="192">
        <f t="shared" si="105"/>
        <v>0</v>
      </c>
      <c r="BS99" s="192">
        <f t="shared" si="105"/>
        <v>0</v>
      </c>
      <c r="BT99" s="192">
        <f t="shared" si="105"/>
        <v>0</v>
      </c>
      <c r="BU99" s="192">
        <f t="shared" si="105"/>
        <v>0</v>
      </c>
      <c r="BV99" s="192">
        <f t="shared" si="105"/>
        <v>0</v>
      </c>
      <c r="BW99" s="192">
        <f t="shared" si="105"/>
        <v>0</v>
      </c>
      <c r="BX99" s="192">
        <f t="shared" si="105"/>
        <v>0</v>
      </c>
      <c r="BY99" s="192">
        <f t="shared" si="105"/>
        <v>0</v>
      </c>
      <c r="BZ99" s="192">
        <f t="shared" si="105"/>
        <v>0</v>
      </c>
      <c r="CA99" s="192">
        <f t="shared" si="105"/>
        <v>0</v>
      </c>
      <c r="CB99" s="192">
        <f t="shared" si="105"/>
        <v>0</v>
      </c>
      <c r="CD99" s="138">
        <f t="shared" si="90"/>
        <v>0</v>
      </c>
    </row>
    <row r="100" spans="2:82">
      <c r="B100" s="75" t="s">
        <v>73</v>
      </c>
      <c r="C100" s="76" t="s">
        <v>98</v>
      </c>
      <c r="D100" s="17">
        <v>81781.94</v>
      </c>
      <c r="J100" s="304">
        <f>SUMIF('Ventas Ene-Ago'!B:B,B100,'Ventas Ene-Ago'!L:L)/1000</f>
        <v>0.93186000000000002</v>
      </c>
      <c r="AS100" s="192">
        <f t="shared" si="86"/>
        <v>9.8567562310030388E-2</v>
      </c>
      <c r="AT100" s="192">
        <f t="shared" si="86"/>
        <v>9.8567562310030388E-2</v>
      </c>
      <c r="AU100" s="192">
        <f t="shared" si="86"/>
        <v>9.8567562310030388E-2</v>
      </c>
      <c r="AV100" s="192">
        <f t="shared" si="86"/>
        <v>9.8567562310030388E-2</v>
      </c>
      <c r="AY100" s="322">
        <f t="shared" si="87"/>
        <v>1.3261302492401217</v>
      </c>
      <c r="AZ100" s="116"/>
      <c r="BA100" s="116"/>
      <c r="BF100" s="116"/>
      <c r="BG100" s="116"/>
      <c r="BH100" s="116"/>
      <c r="BI100" s="116"/>
      <c r="BJ100" s="116"/>
      <c r="BK100" s="192">
        <f t="shared" si="88"/>
        <v>1.3261302492401217</v>
      </c>
      <c r="BP100" s="152">
        <f t="shared" si="91"/>
        <v>0</v>
      </c>
      <c r="BQ100" s="192">
        <f t="shared" ref="BQ100:CB100" si="106">BQ20*BQ61</f>
        <v>0.23508930091185409</v>
      </c>
      <c r="BR100" s="192">
        <f t="shared" si="106"/>
        <v>0.1841060790273556</v>
      </c>
      <c r="BS100" s="192">
        <f t="shared" si="106"/>
        <v>0.20959768996960482</v>
      </c>
      <c r="BT100" s="192">
        <f t="shared" si="106"/>
        <v>2.5491610942249235E-2</v>
      </c>
      <c r="BU100" s="192">
        <f t="shared" si="106"/>
        <v>0.1359552583586626</v>
      </c>
      <c r="BV100" s="192">
        <f t="shared" si="106"/>
        <v>6.7977629179331298E-2</v>
      </c>
      <c r="BW100" s="192">
        <f t="shared" si="106"/>
        <v>5.3815623100303946E-2</v>
      </c>
      <c r="BX100" s="192">
        <f t="shared" si="106"/>
        <v>1.9826808510638297E-2</v>
      </c>
      <c r="BY100" s="192">
        <f t="shared" si="106"/>
        <v>9.8567562310030374E-2</v>
      </c>
      <c r="BZ100" s="192">
        <f t="shared" si="106"/>
        <v>9.8567562310030374E-2</v>
      </c>
      <c r="CA100" s="192">
        <f t="shared" si="106"/>
        <v>9.8567562310030374E-2</v>
      </c>
      <c r="CB100" s="192">
        <f t="shared" si="106"/>
        <v>9.8567562310030374E-2</v>
      </c>
      <c r="CD100" s="138">
        <f t="shared" si="90"/>
        <v>0</v>
      </c>
    </row>
    <row r="101" spans="2:82">
      <c r="B101" s="75" t="s">
        <v>74</v>
      </c>
      <c r="C101" s="76" t="s">
        <v>99</v>
      </c>
      <c r="D101" s="17">
        <v>81781.94</v>
      </c>
      <c r="J101" s="304">
        <f>SUMIF('Ventas Ene-Ago'!B:B,B101,'Ventas Ene-Ago'!L:L)/1000</f>
        <v>1.63104</v>
      </c>
      <c r="AS101" s="192">
        <f t="shared" si="86"/>
        <v>0.23364554691075518</v>
      </c>
      <c r="AT101" s="192">
        <f t="shared" si="86"/>
        <v>0.23364554691075518</v>
      </c>
      <c r="AU101" s="192">
        <f t="shared" si="86"/>
        <v>0.23364554691075518</v>
      </c>
      <c r="AV101" s="192">
        <f t="shared" si="86"/>
        <v>0.23364554691075518</v>
      </c>
      <c r="AY101" s="322">
        <f t="shared" si="87"/>
        <v>2.5656221876430205</v>
      </c>
      <c r="AZ101" s="116"/>
      <c r="BA101" s="116"/>
      <c r="BF101" s="116"/>
      <c r="BG101" s="116"/>
      <c r="BH101" s="116"/>
      <c r="BI101" s="116"/>
      <c r="BJ101" s="116"/>
      <c r="BK101" s="192">
        <f t="shared" si="88"/>
        <v>2.5656221876430205</v>
      </c>
      <c r="BP101" s="152">
        <f t="shared" si="91"/>
        <v>0</v>
      </c>
      <c r="BQ101" s="192">
        <f t="shared" ref="BQ101:CB101" si="107">BQ21*BQ62</f>
        <v>0.15302663615560641</v>
      </c>
      <c r="BR101" s="192">
        <f t="shared" si="107"/>
        <v>0.27992677345537753</v>
      </c>
      <c r="BS101" s="192">
        <f t="shared" si="107"/>
        <v>0.5038681922196796</v>
      </c>
      <c r="BT101" s="192">
        <f t="shared" si="107"/>
        <v>7.837949656750573E-2</v>
      </c>
      <c r="BU101" s="192">
        <f t="shared" si="107"/>
        <v>0.18288549199084669</v>
      </c>
      <c r="BV101" s="192">
        <f t="shared" si="107"/>
        <v>7.0914782608695645E-2</v>
      </c>
      <c r="BW101" s="192">
        <f t="shared" si="107"/>
        <v>0.33217977116704805</v>
      </c>
      <c r="BX101" s="192">
        <f t="shared" si="107"/>
        <v>2.9858855835240273E-2</v>
      </c>
      <c r="BY101" s="192">
        <f t="shared" si="107"/>
        <v>0.23364554691075515</v>
      </c>
      <c r="BZ101" s="192">
        <f t="shared" si="107"/>
        <v>0.23364554691075515</v>
      </c>
      <c r="CA101" s="192">
        <f t="shared" si="107"/>
        <v>0.23364554691075515</v>
      </c>
      <c r="CB101" s="192">
        <f t="shared" si="107"/>
        <v>0.23364554691075515</v>
      </c>
      <c r="CD101" s="138">
        <f t="shared" si="90"/>
        <v>0</v>
      </c>
    </row>
    <row r="102" spans="2:82">
      <c r="B102" s="75" t="s">
        <v>75</v>
      </c>
      <c r="C102" s="82" t="s">
        <v>103</v>
      </c>
      <c r="D102" s="17">
        <v>81781.94</v>
      </c>
      <c r="J102" s="318">
        <f>SUMIF('Ventas Ene-Ago'!B:B,B102,'Ventas Ene-Ago'!L:L)/1000</f>
        <v>4.7573299999999987</v>
      </c>
      <c r="AS102" s="193">
        <f t="shared" si="86"/>
        <v>0.89297606757390879</v>
      </c>
      <c r="AT102" s="193">
        <f t="shared" si="86"/>
        <v>0.89297606757390879</v>
      </c>
      <c r="AU102" s="193">
        <f t="shared" si="86"/>
        <v>0.89297606757390879</v>
      </c>
      <c r="AV102" s="193">
        <f t="shared" si="86"/>
        <v>0.89297606757390879</v>
      </c>
      <c r="AY102" s="323">
        <f t="shared" si="87"/>
        <v>8.3292342702956343</v>
      </c>
      <c r="AZ102" s="116"/>
      <c r="BA102" s="116"/>
      <c r="BF102" s="116"/>
      <c r="BG102" s="116"/>
      <c r="BH102" s="116"/>
      <c r="BI102" s="116"/>
      <c r="BJ102" s="116"/>
      <c r="BK102" s="193">
        <f t="shared" si="88"/>
        <v>8.5374651270530251</v>
      </c>
      <c r="BP102" s="152">
        <f t="shared" si="91"/>
        <v>0</v>
      </c>
      <c r="BQ102" s="193">
        <f t="shared" ref="BQ102:CB102" si="108">BQ22*BQ63</f>
        <v>0.71145542725441879</v>
      </c>
      <c r="BR102" s="193">
        <f t="shared" si="108"/>
        <v>0.71145542725441879</v>
      </c>
      <c r="BS102" s="193">
        <f t="shared" si="108"/>
        <v>0.71145542725441879</v>
      </c>
      <c r="BT102" s="193">
        <f t="shared" si="108"/>
        <v>0.71145542725441879</v>
      </c>
      <c r="BU102" s="193">
        <f t="shared" si="108"/>
        <v>0.71145542725441879</v>
      </c>
      <c r="BV102" s="193">
        <f t="shared" si="108"/>
        <v>0.71145542725441879</v>
      </c>
      <c r="BW102" s="193">
        <f t="shared" si="108"/>
        <v>0.71145542725441879</v>
      </c>
      <c r="BX102" s="193">
        <f t="shared" si="108"/>
        <v>0.71145542725441879</v>
      </c>
      <c r="BY102" s="193">
        <f t="shared" si="108"/>
        <v>0.71145542725441879</v>
      </c>
      <c r="BZ102" s="193">
        <f t="shared" si="108"/>
        <v>0.71145542725441879</v>
      </c>
      <c r="CA102" s="193">
        <f t="shared" si="108"/>
        <v>0.71145542725441879</v>
      </c>
      <c r="CB102" s="193">
        <f t="shared" si="108"/>
        <v>0.71145542725441879</v>
      </c>
      <c r="CD102" s="138">
        <f t="shared" si="90"/>
        <v>2.4999999999999911E-2</v>
      </c>
    </row>
    <row r="103" spans="2:82">
      <c r="B103" s="75" t="s">
        <v>76</v>
      </c>
      <c r="C103" s="82" t="s">
        <v>102</v>
      </c>
      <c r="D103" s="17">
        <v>81781.94</v>
      </c>
      <c r="J103" s="305">
        <f>SUMIF('Ventas Ene-Ago'!B:B,B103,'Ventas Ene-Ago'!L:L)/1000</f>
        <v>1552.3041599999999</v>
      </c>
      <c r="AS103" s="193">
        <f t="shared" si="86"/>
        <v>211.86826894063526</v>
      </c>
      <c r="AT103" s="193">
        <f t="shared" si="86"/>
        <v>211.86826894063526</v>
      </c>
      <c r="AU103" s="193">
        <f t="shared" si="86"/>
        <v>211.86826894063526</v>
      </c>
      <c r="AV103" s="193">
        <f t="shared" si="86"/>
        <v>211.86826894063526</v>
      </c>
      <c r="AY103" s="323">
        <f t="shared" si="87"/>
        <v>2399.7772357625408</v>
      </c>
      <c r="AZ103" s="116"/>
      <c r="BA103" s="116"/>
      <c r="BF103" s="116"/>
      <c r="BG103" s="116"/>
      <c r="BH103" s="116"/>
      <c r="BI103" s="116"/>
      <c r="BJ103" s="116"/>
      <c r="BK103" s="193">
        <f t="shared" si="88"/>
        <v>2519.7660975506678</v>
      </c>
      <c r="BP103" s="152">
        <f t="shared" si="91"/>
        <v>0</v>
      </c>
      <c r="BQ103" s="193">
        <f t="shared" ref="BQ103:CB103" si="109">BQ23*BQ64</f>
        <v>173.18492365118166</v>
      </c>
      <c r="BR103" s="193">
        <f t="shared" si="109"/>
        <v>209.56407875894863</v>
      </c>
      <c r="BS103" s="193">
        <f t="shared" si="109"/>
        <v>223.95872566600042</v>
      </c>
      <c r="BT103" s="193">
        <f t="shared" si="109"/>
        <v>219.96358399662748</v>
      </c>
      <c r="BU103" s="193">
        <f t="shared" si="109"/>
        <v>236.36034112909161</v>
      </c>
      <c r="BV103" s="193">
        <f t="shared" si="109"/>
        <v>198.25526188428657</v>
      </c>
      <c r="BW103" s="193">
        <f t="shared" si="109"/>
        <v>192.78983545033276</v>
      </c>
      <c r="BX103" s="193">
        <f t="shared" si="109"/>
        <v>175.84261746353093</v>
      </c>
      <c r="BY103" s="193">
        <f t="shared" si="109"/>
        <v>222.46168238766703</v>
      </c>
      <c r="BZ103" s="193">
        <f t="shared" si="109"/>
        <v>222.46168238766703</v>
      </c>
      <c r="CA103" s="193">
        <f t="shared" si="109"/>
        <v>222.46168238766703</v>
      </c>
      <c r="CB103" s="193">
        <f t="shared" si="109"/>
        <v>222.46168238766703</v>
      </c>
      <c r="CD103" s="138">
        <f t="shared" si="90"/>
        <v>5.0000000000000044E-2</v>
      </c>
    </row>
    <row r="104" spans="2:82">
      <c r="B104" s="75" t="s">
        <v>77</v>
      </c>
      <c r="C104" s="82" t="s">
        <v>77</v>
      </c>
      <c r="D104" s="17">
        <v>81781.94</v>
      </c>
      <c r="J104" s="305">
        <f>SUMIF('Ventas Ene-Ago'!B:B,B104,'Ventas Ene-Ago'!L:L)/1000</f>
        <v>1555.5596699999999</v>
      </c>
      <c r="AS104" s="193">
        <f t="shared" si="86"/>
        <v>197.9600142156562</v>
      </c>
      <c r="AT104" s="193">
        <f t="shared" si="86"/>
        <v>197.9600142156562</v>
      </c>
      <c r="AU104" s="193">
        <f t="shared" si="86"/>
        <v>197.9600142156562</v>
      </c>
      <c r="AV104" s="193">
        <f t="shared" si="86"/>
        <v>197.9600142156562</v>
      </c>
      <c r="AY104" s="323">
        <f t="shared" si="87"/>
        <v>2347.3997268626244</v>
      </c>
      <c r="AZ104" s="116"/>
      <c r="BA104" s="116"/>
      <c r="BF104" s="116"/>
      <c r="BG104" s="116"/>
      <c r="BH104" s="116"/>
      <c r="BI104" s="116"/>
      <c r="BJ104" s="116"/>
      <c r="BK104" s="193">
        <f t="shared" si="88"/>
        <v>2464.769713205756</v>
      </c>
      <c r="BP104" s="152">
        <f t="shared" si="91"/>
        <v>0</v>
      </c>
      <c r="BQ104" s="193">
        <f t="shared" ref="BQ104:CB104" si="110">BQ24*BQ65</f>
        <v>97.875112707375635</v>
      </c>
      <c r="BR104" s="193">
        <f t="shared" si="110"/>
        <v>162.95366967004747</v>
      </c>
      <c r="BS104" s="193">
        <f t="shared" si="110"/>
        <v>196.13127133390367</v>
      </c>
      <c r="BT104" s="193">
        <f t="shared" si="110"/>
        <v>201.21457593366878</v>
      </c>
      <c r="BU104" s="193">
        <f t="shared" si="110"/>
        <v>226.22819751174464</v>
      </c>
      <c r="BV104" s="193">
        <f t="shared" si="110"/>
        <v>231.23548297551926</v>
      </c>
      <c r="BW104" s="193">
        <f t="shared" si="110"/>
        <v>265.35097072965834</v>
      </c>
      <c r="BX104" s="193">
        <f t="shared" si="110"/>
        <v>252.34837263808231</v>
      </c>
      <c r="BY104" s="193">
        <f t="shared" si="110"/>
        <v>207.85801492643901</v>
      </c>
      <c r="BZ104" s="193">
        <f t="shared" si="110"/>
        <v>207.85801492643901</v>
      </c>
      <c r="CA104" s="193">
        <f t="shared" si="110"/>
        <v>207.85801492643901</v>
      </c>
      <c r="CB104" s="193">
        <f t="shared" si="110"/>
        <v>207.85801492643901</v>
      </c>
      <c r="CD104" s="138">
        <f t="shared" si="90"/>
        <v>5.0000000000000044E-2</v>
      </c>
    </row>
    <row r="105" spans="2:82">
      <c r="B105" s="81" t="s">
        <v>78</v>
      </c>
      <c r="C105" s="76" t="s">
        <v>87</v>
      </c>
      <c r="D105" s="17">
        <v>81781.94</v>
      </c>
      <c r="J105" s="304">
        <f>SUMIF('Ventas Ene-Ago'!B:B,B105,'Ventas Ene-Ago'!L:L)/1000</f>
        <v>3.2344200000000001</v>
      </c>
      <c r="AS105" s="192">
        <f t="shared" si="86"/>
        <v>0.3425389484151648</v>
      </c>
      <c r="AT105" s="192">
        <f t="shared" si="86"/>
        <v>0.3425389484151648</v>
      </c>
      <c r="AU105" s="192">
        <f t="shared" si="86"/>
        <v>0.3425389484151648</v>
      </c>
      <c r="AV105" s="192">
        <f t="shared" si="86"/>
        <v>0.3425389484151648</v>
      </c>
      <c r="AY105" s="322">
        <f t="shared" si="87"/>
        <v>4.6045757936606586</v>
      </c>
      <c r="AZ105" s="116"/>
      <c r="BA105" s="116"/>
      <c r="BF105" s="116"/>
      <c r="BG105" s="116"/>
      <c r="BH105" s="116"/>
      <c r="BI105" s="116"/>
      <c r="BJ105" s="116"/>
      <c r="BK105" s="192">
        <f t="shared" si="88"/>
        <v>4.6045757936606586</v>
      </c>
      <c r="BP105" s="152">
        <f t="shared" si="91"/>
        <v>0</v>
      </c>
      <c r="BQ105" s="192">
        <f t="shared" ref="BQ105:CB105" si="111">BQ25*BQ66</f>
        <v>0.69754116842759462</v>
      </c>
      <c r="BR105" s="192">
        <f t="shared" si="111"/>
        <v>0.82418408949658162</v>
      </c>
      <c r="BS105" s="192">
        <f t="shared" si="111"/>
        <v>0.66738809198259785</v>
      </c>
      <c r="BT105" s="192">
        <f t="shared" si="111"/>
        <v>0.33771445618396517</v>
      </c>
      <c r="BU105" s="192">
        <f t="shared" si="111"/>
        <v>0.36786753262896205</v>
      </c>
      <c r="BV105" s="192">
        <f t="shared" si="111"/>
        <v>0.25127563704164074</v>
      </c>
      <c r="BW105" s="192">
        <f t="shared" si="111"/>
        <v>8.8449024238657539E-2</v>
      </c>
      <c r="BX105" s="192">
        <f t="shared" si="111"/>
        <v>0</v>
      </c>
      <c r="BY105" s="192">
        <f t="shared" si="111"/>
        <v>0.34253894841516469</v>
      </c>
      <c r="BZ105" s="192">
        <f t="shared" si="111"/>
        <v>0.34253894841516469</v>
      </c>
      <c r="CA105" s="192">
        <f t="shared" si="111"/>
        <v>0.34253894841516469</v>
      </c>
      <c r="CB105" s="192">
        <f t="shared" si="111"/>
        <v>0.34253894841516469</v>
      </c>
      <c r="CD105" s="138">
        <f t="shared" si="90"/>
        <v>0</v>
      </c>
    </row>
    <row r="106" spans="2:82">
      <c r="B106" s="81" t="s">
        <v>79</v>
      </c>
      <c r="C106" s="76" t="s">
        <v>90</v>
      </c>
      <c r="D106" s="17">
        <v>81781.94</v>
      </c>
      <c r="J106" s="304">
        <f>SUMIF('Ventas Ene-Ago'!B:B,B106,'Ventas Ene-Ago'!L:L)/1000</f>
        <v>0</v>
      </c>
      <c r="AS106" s="192">
        <f t="shared" si="86"/>
        <v>0</v>
      </c>
      <c r="AT106" s="192">
        <f t="shared" si="86"/>
        <v>0</v>
      </c>
      <c r="AU106" s="192">
        <f t="shared" si="86"/>
        <v>0</v>
      </c>
      <c r="AV106" s="192">
        <f t="shared" si="86"/>
        <v>0</v>
      </c>
      <c r="AY106" s="322">
        <f t="shared" si="87"/>
        <v>0</v>
      </c>
      <c r="AZ106" s="116"/>
      <c r="BA106" s="116"/>
      <c r="BF106" s="116"/>
      <c r="BG106" s="116"/>
      <c r="BH106" s="116"/>
      <c r="BI106" s="116"/>
      <c r="BJ106" s="116"/>
      <c r="BK106" s="192">
        <f t="shared" si="88"/>
        <v>0</v>
      </c>
      <c r="BP106" s="152">
        <f t="shared" si="91"/>
        <v>0</v>
      </c>
      <c r="BQ106" s="192">
        <f t="shared" ref="BQ106:CB106" si="112">BQ26*BQ67</f>
        <v>0</v>
      </c>
      <c r="BR106" s="192">
        <f t="shared" si="112"/>
        <v>0</v>
      </c>
      <c r="BS106" s="192">
        <f t="shared" si="112"/>
        <v>0</v>
      </c>
      <c r="BT106" s="192">
        <f t="shared" si="112"/>
        <v>0</v>
      </c>
      <c r="BU106" s="192">
        <f t="shared" si="112"/>
        <v>0</v>
      </c>
      <c r="BV106" s="192">
        <f t="shared" si="112"/>
        <v>0</v>
      </c>
      <c r="BW106" s="192">
        <f t="shared" si="112"/>
        <v>0</v>
      </c>
      <c r="BX106" s="192">
        <f t="shared" si="112"/>
        <v>0</v>
      </c>
      <c r="BY106" s="192">
        <f t="shared" si="112"/>
        <v>0</v>
      </c>
      <c r="BZ106" s="192">
        <f t="shared" si="112"/>
        <v>0</v>
      </c>
      <c r="CA106" s="192">
        <f t="shared" si="112"/>
        <v>0</v>
      </c>
      <c r="CB106" s="192">
        <f t="shared" si="112"/>
        <v>0</v>
      </c>
      <c r="CD106" s="138">
        <f t="shared" si="90"/>
        <v>0</v>
      </c>
    </row>
    <row r="107" spans="2:82">
      <c r="B107" s="81" t="s">
        <v>80</v>
      </c>
      <c r="C107" s="76" t="s">
        <v>92</v>
      </c>
      <c r="D107" s="17">
        <v>81781.94</v>
      </c>
      <c r="J107" s="304">
        <f>SUMIF('Ventas Ene-Ago'!B:B,B107,'Ventas Ene-Ago'!L:L)/1000</f>
        <v>0</v>
      </c>
      <c r="AS107" s="192">
        <f t="shared" si="86"/>
        <v>0</v>
      </c>
      <c r="AT107" s="192">
        <f t="shared" si="86"/>
        <v>0</v>
      </c>
      <c r="AU107" s="192">
        <f t="shared" si="86"/>
        <v>0</v>
      </c>
      <c r="AV107" s="192">
        <f t="shared" si="86"/>
        <v>0</v>
      </c>
      <c r="AY107" s="322">
        <f t="shared" si="87"/>
        <v>0</v>
      </c>
      <c r="AZ107" s="116"/>
      <c r="BA107" s="116"/>
      <c r="BF107" s="116"/>
      <c r="BG107" s="116"/>
      <c r="BH107" s="116"/>
      <c r="BI107" s="116"/>
      <c r="BJ107" s="116"/>
      <c r="BK107" s="192">
        <f t="shared" si="88"/>
        <v>0</v>
      </c>
      <c r="BP107" s="152">
        <f t="shared" si="91"/>
        <v>0</v>
      </c>
      <c r="BQ107" s="192">
        <f t="shared" ref="BQ107:CB107" si="113">BQ27*BQ68</f>
        <v>0</v>
      </c>
      <c r="BR107" s="192">
        <f t="shared" si="113"/>
        <v>0</v>
      </c>
      <c r="BS107" s="192">
        <f t="shared" si="113"/>
        <v>0</v>
      </c>
      <c r="BT107" s="192">
        <f t="shared" si="113"/>
        <v>0</v>
      </c>
      <c r="BU107" s="192">
        <f t="shared" si="113"/>
        <v>0</v>
      </c>
      <c r="BV107" s="192">
        <f t="shared" si="113"/>
        <v>0</v>
      </c>
      <c r="BW107" s="192">
        <f t="shared" si="113"/>
        <v>0</v>
      </c>
      <c r="BX107" s="192">
        <f t="shared" si="113"/>
        <v>0</v>
      </c>
      <c r="BY107" s="192">
        <f t="shared" si="113"/>
        <v>0</v>
      </c>
      <c r="BZ107" s="192">
        <f t="shared" si="113"/>
        <v>0</v>
      </c>
      <c r="CA107" s="192">
        <f t="shared" si="113"/>
        <v>0</v>
      </c>
      <c r="CB107" s="192">
        <f t="shared" si="113"/>
        <v>0</v>
      </c>
      <c r="CD107" s="138">
        <f t="shared" si="90"/>
        <v>0</v>
      </c>
    </row>
    <row r="108" spans="2:82">
      <c r="B108" s="81" t="s">
        <v>81</v>
      </c>
      <c r="C108" s="76" t="s">
        <v>94</v>
      </c>
      <c r="J108" s="304">
        <f>SUMIF('Ventas Ene-Ago'!B:B,B108,'Ventas Ene-Ago'!L:L)/1000</f>
        <v>0</v>
      </c>
      <c r="AS108" s="192">
        <f t="shared" si="86"/>
        <v>0</v>
      </c>
      <c r="AT108" s="192">
        <f t="shared" si="86"/>
        <v>0</v>
      </c>
      <c r="AU108" s="192">
        <f t="shared" si="86"/>
        <v>0</v>
      </c>
      <c r="AV108" s="192">
        <f t="shared" si="86"/>
        <v>0</v>
      </c>
      <c r="AY108" s="322">
        <f t="shared" si="87"/>
        <v>0</v>
      </c>
      <c r="AZ108" s="116"/>
      <c r="BA108" s="116"/>
      <c r="BF108" s="116"/>
      <c r="BG108" s="116"/>
      <c r="BH108" s="116"/>
      <c r="BI108" s="116"/>
      <c r="BJ108" s="116"/>
      <c r="BK108" s="192">
        <f t="shared" si="88"/>
        <v>0</v>
      </c>
      <c r="BP108" s="152">
        <f t="shared" si="91"/>
        <v>0</v>
      </c>
      <c r="BQ108" s="192">
        <f t="shared" ref="BQ108:CB108" si="114">BQ28*BQ69</f>
        <v>0</v>
      </c>
      <c r="BR108" s="192">
        <f t="shared" si="114"/>
        <v>0</v>
      </c>
      <c r="BS108" s="192">
        <f t="shared" si="114"/>
        <v>0</v>
      </c>
      <c r="BT108" s="192">
        <f t="shared" si="114"/>
        <v>0</v>
      </c>
      <c r="BU108" s="192">
        <f t="shared" si="114"/>
        <v>0</v>
      </c>
      <c r="BV108" s="192">
        <f t="shared" si="114"/>
        <v>0</v>
      </c>
      <c r="BW108" s="192">
        <f t="shared" si="114"/>
        <v>0</v>
      </c>
      <c r="BX108" s="192">
        <f t="shared" si="114"/>
        <v>0</v>
      </c>
      <c r="BY108" s="192">
        <f t="shared" si="114"/>
        <v>0</v>
      </c>
      <c r="BZ108" s="192">
        <f t="shared" si="114"/>
        <v>0</v>
      </c>
      <c r="CA108" s="192">
        <f t="shared" si="114"/>
        <v>0</v>
      </c>
      <c r="CB108" s="192">
        <f t="shared" si="114"/>
        <v>0</v>
      </c>
      <c r="CD108" s="138">
        <f t="shared" si="90"/>
        <v>0</v>
      </c>
    </row>
    <row r="109" spans="2:82">
      <c r="B109" s="81" t="s">
        <v>82</v>
      </c>
      <c r="C109" s="76" t="s">
        <v>96</v>
      </c>
      <c r="J109" s="304">
        <f>SUMIF('Ventas Ene-Ago'!B:B,B109,'Ventas Ene-Ago'!L:L)/1000</f>
        <v>24.440069999999999</v>
      </c>
      <c r="AS109" s="192">
        <f t="shared" si="86"/>
        <v>3.1459337847108442</v>
      </c>
      <c r="AT109" s="192">
        <f t="shared" si="86"/>
        <v>3.1459337847108442</v>
      </c>
      <c r="AU109" s="192">
        <f t="shared" si="86"/>
        <v>3.1459337847108442</v>
      </c>
      <c r="AV109" s="192">
        <f t="shared" si="86"/>
        <v>3.1459337847108442</v>
      </c>
      <c r="AY109" s="322">
        <f t="shared" si="87"/>
        <v>37.023805138843372</v>
      </c>
      <c r="AZ109" s="116"/>
      <c r="BA109" s="116"/>
      <c r="BF109" s="116"/>
      <c r="BG109" s="116"/>
      <c r="BH109" s="116"/>
      <c r="BI109" s="116"/>
      <c r="BJ109" s="116"/>
      <c r="BK109" s="192">
        <f t="shared" si="88"/>
        <v>37.023805138843372</v>
      </c>
      <c r="BP109" s="152">
        <f t="shared" si="91"/>
        <v>0</v>
      </c>
      <c r="BQ109" s="192">
        <f t="shared" ref="BQ109:CB109" si="115">BQ29*BQ70</f>
        <v>3.0201850367762395</v>
      </c>
      <c r="BR109" s="192">
        <f t="shared" si="115"/>
        <v>3.1726852121169866</v>
      </c>
      <c r="BS109" s="192">
        <f t="shared" si="115"/>
        <v>3.320073649736814</v>
      </c>
      <c r="BT109" s="192">
        <f t="shared" si="115"/>
        <v>3.073858282845888</v>
      </c>
      <c r="BU109" s="192">
        <f t="shared" si="115"/>
        <v>3.2382858462021122</v>
      </c>
      <c r="BV109" s="192">
        <f t="shared" si="115"/>
        <v>3.1207158786209774</v>
      </c>
      <c r="BW109" s="192">
        <f t="shared" si="115"/>
        <v>2.9767352661484292</v>
      </c>
      <c r="BX109" s="192">
        <f t="shared" si="115"/>
        <v>2.5175308275525494</v>
      </c>
      <c r="BY109" s="192">
        <f t="shared" si="115"/>
        <v>3.1459337847108442</v>
      </c>
      <c r="BZ109" s="192">
        <f t="shared" si="115"/>
        <v>3.1459337847108442</v>
      </c>
      <c r="CA109" s="192">
        <f t="shared" si="115"/>
        <v>3.1459337847108442</v>
      </c>
      <c r="CB109" s="192">
        <f t="shared" si="115"/>
        <v>3.1459337847108442</v>
      </c>
      <c r="CD109" s="138">
        <f t="shared" si="90"/>
        <v>0</v>
      </c>
    </row>
    <row r="110" spans="2:82">
      <c r="B110" s="119" t="s">
        <v>129</v>
      </c>
      <c r="C110" s="120" t="s">
        <v>129</v>
      </c>
      <c r="J110" s="306">
        <f>SUMIF('Ventas Ene-Ago'!B:B,B110,'Ventas Ene-Ago'!L:L)/1000</f>
        <v>0</v>
      </c>
      <c r="AS110" s="194">
        <f t="shared" si="86"/>
        <v>0</v>
      </c>
      <c r="AT110" s="194">
        <f t="shared" si="86"/>
        <v>0</v>
      </c>
      <c r="AU110" s="194">
        <f t="shared" si="86"/>
        <v>0</v>
      </c>
      <c r="AV110" s="194">
        <f t="shared" si="86"/>
        <v>0</v>
      </c>
      <c r="AY110" s="324">
        <f t="shared" si="87"/>
        <v>0</v>
      </c>
      <c r="AZ110" s="116"/>
      <c r="BA110" s="116"/>
      <c r="BF110" s="116"/>
      <c r="BG110" s="116"/>
      <c r="BH110" s="116"/>
      <c r="BI110" s="116"/>
      <c r="BJ110" s="116"/>
      <c r="BK110" s="194">
        <f t="shared" si="88"/>
        <v>0</v>
      </c>
      <c r="BP110" s="152">
        <f t="shared" si="91"/>
        <v>0</v>
      </c>
      <c r="BQ110" s="194">
        <f t="shared" ref="BQ110:CB110" si="116">BQ30*BQ71</f>
        <v>0</v>
      </c>
      <c r="BR110" s="194">
        <f t="shared" si="116"/>
        <v>0</v>
      </c>
      <c r="BS110" s="194">
        <f t="shared" si="116"/>
        <v>0</v>
      </c>
      <c r="BT110" s="194">
        <f t="shared" si="116"/>
        <v>0</v>
      </c>
      <c r="BU110" s="194">
        <f t="shared" si="116"/>
        <v>0</v>
      </c>
      <c r="BV110" s="194">
        <f t="shared" si="116"/>
        <v>0</v>
      </c>
      <c r="BW110" s="194">
        <f t="shared" si="116"/>
        <v>0</v>
      </c>
      <c r="BX110" s="194">
        <f t="shared" si="116"/>
        <v>0</v>
      </c>
      <c r="BY110" s="194">
        <f t="shared" si="116"/>
        <v>0</v>
      </c>
      <c r="BZ110" s="194">
        <f t="shared" si="116"/>
        <v>0</v>
      </c>
      <c r="CA110" s="194">
        <f t="shared" si="116"/>
        <v>0</v>
      </c>
      <c r="CB110" s="194">
        <f t="shared" si="116"/>
        <v>0</v>
      </c>
      <c r="CD110" s="141">
        <f t="shared" si="90"/>
        <v>0</v>
      </c>
    </row>
    <row r="111" spans="2:82">
      <c r="B111" s="119" t="s">
        <v>326</v>
      </c>
      <c r="C111" s="120" t="s">
        <v>326</v>
      </c>
      <c r="J111" s="306">
        <f>SUMIF('Ventas Ene-Ago'!B:B,B111,'Ventas Ene-Ago'!L:L)/1000</f>
        <v>-1063.9425199999998</v>
      </c>
      <c r="AS111" s="306"/>
      <c r="AT111" s="306"/>
      <c r="AU111" s="306"/>
      <c r="AV111" s="306">
        <v>814</v>
      </c>
      <c r="AY111" s="319">
        <f t="shared" si="87"/>
        <v>-249.94251999999983</v>
      </c>
      <c r="AZ111" s="116"/>
      <c r="BA111" s="116"/>
      <c r="BF111" s="116"/>
      <c r="BG111" s="116"/>
      <c r="BH111" s="116"/>
      <c r="BI111" s="116"/>
      <c r="BJ111" s="116"/>
      <c r="BK111" s="306">
        <f t="shared" si="88"/>
        <v>0</v>
      </c>
      <c r="BP111" s="152"/>
      <c r="BQ111" s="306">
        <f t="shared" ref="BQ111:CB111" si="117">BQ31*BQ72</f>
        <v>0</v>
      </c>
      <c r="BR111" s="306">
        <f t="shared" si="117"/>
        <v>0</v>
      </c>
      <c r="BS111" s="306">
        <f t="shared" si="117"/>
        <v>0</v>
      </c>
      <c r="BT111" s="306">
        <f t="shared" si="117"/>
        <v>0</v>
      </c>
      <c r="BU111" s="306">
        <f t="shared" si="117"/>
        <v>0</v>
      </c>
      <c r="BV111" s="306">
        <f t="shared" si="117"/>
        <v>0</v>
      </c>
      <c r="BW111" s="306">
        <f t="shared" si="117"/>
        <v>0</v>
      </c>
      <c r="BX111" s="306">
        <f t="shared" si="117"/>
        <v>0</v>
      </c>
      <c r="BY111" s="306">
        <f t="shared" si="117"/>
        <v>0</v>
      </c>
      <c r="BZ111" s="306">
        <f t="shared" si="117"/>
        <v>0</v>
      </c>
      <c r="CA111" s="306">
        <f t="shared" si="117"/>
        <v>0</v>
      </c>
      <c r="CB111" s="306">
        <f t="shared" si="117"/>
        <v>0</v>
      </c>
      <c r="CD111" s="141">
        <f t="shared" si="90"/>
        <v>-1</v>
      </c>
    </row>
    <row r="112" spans="2:82" ht="12" thickBot="1">
      <c r="B112" s="83" t="s">
        <v>101</v>
      </c>
      <c r="C112" s="84" t="s">
        <v>101</v>
      </c>
      <c r="J112" s="307">
        <f>SUMIF('Ventas Ene-Ago'!B:B,B112,'Ventas Ene-Ago'!L:L)/1000</f>
        <v>99.768439999997355</v>
      </c>
      <c r="AS112" s="307">
        <f>100/8</f>
        <v>12.5</v>
      </c>
      <c r="AT112" s="307">
        <f>100/8</f>
        <v>12.5</v>
      </c>
      <c r="AU112" s="307">
        <f>100/8</f>
        <v>12.5</v>
      </c>
      <c r="AV112" s="307">
        <f>100/8</f>
        <v>12.5</v>
      </c>
      <c r="AY112" s="320">
        <f t="shared" si="87"/>
        <v>149.76843999999736</v>
      </c>
      <c r="AZ112" s="116"/>
      <c r="BA112" s="116"/>
      <c r="BF112" s="116"/>
      <c r="BG112" s="116"/>
      <c r="BH112" s="116"/>
      <c r="BI112" s="116"/>
      <c r="BJ112" s="116"/>
      <c r="BK112" s="307">
        <v>150</v>
      </c>
      <c r="BP112" s="152">
        <f t="shared" si="91"/>
        <v>0</v>
      </c>
      <c r="BQ112" s="307">
        <f>150/12</f>
        <v>12.5</v>
      </c>
      <c r="BR112" s="307">
        <f t="shared" ref="BR112:CB112" si="118">150/12</f>
        <v>12.5</v>
      </c>
      <c r="BS112" s="307">
        <f t="shared" si="118"/>
        <v>12.5</v>
      </c>
      <c r="BT112" s="307">
        <f t="shared" si="118"/>
        <v>12.5</v>
      </c>
      <c r="BU112" s="307">
        <f t="shared" si="118"/>
        <v>12.5</v>
      </c>
      <c r="BV112" s="307">
        <f t="shared" si="118"/>
        <v>12.5</v>
      </c>
      <c r="BW112" s="307">
        <f t="shared" si="118"/>
        <v>12.5</v>
      </c>
      <c r="BX112" s="307">
        <f t="shared" si="118"/>
        <v>12.5</v>
      </c>
      <c r="BY112" s="307">
        <f t="shared" si="118"/>
        <v>12.5</v>
      </c>
      <c r="BZ112" s="307">
        <f t="shared" si="118"/>
        <v>12.5</v>
      </c>
      <c r="CA112" s="307">
        <f t="shared" si="118"/>
        <v>12.5</v>
      </c>
      <c r="CB112" s="307">
        <f t="shared" si="118"/>
        <v>12.5</v>
      </c>
      <c r="CD112" s="144">
        <f t="shared" si="90"/>
        <v>1.5461201305337902E-3</v>
      </c>
    </row>
    <row r="113" spans="2:93" s="18" customFormat="1">
      <c r="B113" s="89" t="s">
        <v>104</v>
      </c>
      <c r="C113" s="89" t="s">
        <v>104</v>
      </c>
      <c r="J113" s="174">
        <f>SUM(J85:J112)</f>
        <v>15224.446230000001</v>
      </c>
      <c r="AS113" s="148">
        <f>SUM(AS85:AS112)</f>
        <v>2054.6474733738514</v>
      </c>
      <c r="AT113" s="148">
        <f>SUM(AT85:AT112)</f>
        <v>2054.6474733738514</v>
      </c>
      <c r="AU113" s="148">
        <f>SUM(AU85:AU112)</f>
        <v>2054.6474733738514</v>
      </c>
      <c r="AV113" s="148">
        <f>SUM(AV85:AV112)</f>
        <v>2868.6474733738514</v>
      </c>
      <c r="AY113" s="148">
        <f>SUM(AY85:AY112)</f>
        <v>24257.036123495403</v>
      </c>
      <c r="AZ113" s="325">
        <f>AY113-SUM(AS113:AV113,J113)</f>
        <v>0</v>
      </c>
      <c r="BA113" s="148"/>
      <c r="BF113" s="148"/>
      <c r="BG113" s="148"/>
      <c r="BH113" s="148"/>
      <c r="BI113" s="148"/>
      <c r="BJ113" s="148"/>
      <c r="BK113" s="148">
        <f>SUM(BK85:BK112)</f>
        <v>24709.732162467179</v>
      </c>
      <c r="BQ113" s="148">
        <f t="shared" ref="BQ113:CB113" si="119">SUM(BQ85:BQ112)</f>
        <v>2133.5034388542913</v>
      </c>
      <c r="BR113" s="148">
        <f t="shared" si="119"/>
        <v>2032.9128465008139</v>
      </c>
      <c r="BS113" s="148">
        <f t="shared" si="119"/>
        <v>2141.9620039127344</v>
      </c>
      <c r="BT113" s="148">
        <f t="shared" si="119"/>
        <v>2017.7584101083846</v>
      </c>
      <c r="BU113" s="148">
        <f t="shared" si="119"/>
        <v>2120.9712069829725</v>
      </c>
      <c r="BV113" s="148">
        <f t="shared" si="119"/>
        <v>2018.3591147390725</v>
      </c>
      <c r="BW113" s="148">
        <f t="shared" si="119"/>
        <v>2103.1426391858186</v>
      </c>
      <c r="BX113" s="148">
        <f t="shared" si="119"/>
        <v>1851.2796102721504</v>
      </c>
      <c r="BY113" s="148">
        <f t="shared" si="119"/>
        <v>2072.4607229777357</v>
      </c>
      <c r="BZ113" s="148">
        <f t="shared" si="119"/>
        <v>2072.4607229777357</v>
      </c>
      <c r="CA113" s="148">
        <f t="shared" si="119"/>
        <v>2072.4607229777357</v>
      </c>
      <c r="CB113" s="148">
        <f t="shared" si="119"/>
        <v>2072.4607229777357</v>
      </c>
      <c r="CD113" s="117">
        <f t="shared" si="90"/>
        <v>1.8662462992883766E-2</v>
      </c>
      <c r="CK113" s="148"/>
      <c r="CL113" s="148"/>
      <c r="CM113" s="148"/>
      <c r="CN113" s="148"/>
      <c r="CO113" s="148"/>
    </row>
    <row r="114" spans="2:93">
      <c r="J114" s="93">
        <f>J113-'Ventas Ene-Ago'!L41/1000</f>
        <v>0</v>
      </c>
      <c r="AS114" s="116"/>
      <c r="AT114" s="116"/>
      <c r="AU114" s="116"/>
      <c r="AV114" s="116"/>
      <c r="AY114" s="116"/>
      <c r="AZ114" s="116"/>
      <c r="BA114" s="220"/>
      <c r="BF114" s="116"/>
      <c r="BG114" s="116"/>
      <c r="BH114" s="116"/>
      <c r="BI114" s="116"/>
      <c r="BJ114" s="116"/>
      <c r="BK114" s="116"/>
      <c r="BM114" s="217"/>
      <c r="BQ114" s="116"/>
      <c r="BR114" s="116"/>
      <c r="BS114" s="116"/>
      <c r="BT114" s="116"/>
      <c r="BU114" s="116"/>
      <c r="BV114" s="116"/>
      <c r="BW114" s="116"/>
      <c r="BX114" s="116"/>
      <c r="BY114" s="116"/>
      <c r="BZ114" s="116"/>
      <c r="CA114" s="116"/>
      <c r="CB114" s="116"/>
    </row>
    <row r="115" spans="2:93" ht="12" thickBot="1">
      <c r="AS115" s="116"/>
      <c r="AT115" s="116"/>
      <c r="AU115" s="116"/>
      <c r="AV115" s="116"/>
      <c r="AY115" s="116"/>
      <c r="AZ115" s="116"/>
      <c r="BA115" s="220"/>
      <c r="BF115" s="214"/>
      <c r="BG115" s="214"/>
      <c r="BH115" s="214"/>
      <c r="BI115" s="214"/>
      <c r="BJ115" s="214"/>
      <c r="BK115" s="214"/>
      <c r="BL115" s="206"/>
      <c r="BM115" s="217"/>
      <c r="BQ115" s="116"/>
      <c r="BR115" s="116"/>
      <c r="BS115" s="116"/>
      <c r="BT115" s="116"/>
      <c r="BU115" s="116"/>
      <c r="BV115" s="116"/>
      <c r="BW115" s="116"/>
      <c r="BX115" s="116"/>
      <c r="BY115" s="116"/>
      <c r="BZ115" s="116"/>
      <c r="CA115" s="116"/>
      <c r="CB115" s="116"/>
    </row>
    <row r="116" spans="2:93" ht="12" thickBot="1">
      <c r="C116" s="55" t="s">
        <v>113</v>
      </c>
      <c r="J116" s="151" t="s">
        <v>257</v>
      </c>
      <c r="AS116" s="195" t="s">
        <v>259</v>
      </c>
      <c r="AT116" s="195" t="s">
        <v>259</v>
      </c>
      <c r="AU116" s="195" t="s">
        <v>259</v>
      </c>
      <c r="AV116" s="195" t="s">
        <v>259</v>
      </c>
      <c r="AY116" s="195" t="s">
        <v>259</v>
      </c>
      <c r="AZ116" s="116"/>
      <c r="BA116" s="220"/>
      <c r="BF116" s="116"/>
      <c r="BG116" s="116"/>
      <c r="BH116" s="116"/>
      <c r="BI116" s="116"/>
      <c r="BJ116" s="116"/>
      <c r="BK116" s="195" t="s">
        <v>259</v>
      </c>
      <c r="BM116" s="217"/>
      <c r="BQ116" s="195" t="s">
        <v>259</v>
      </c>
      <c r="BR116" s="195" t="s">
        <v>259</v>
      </c>
      <c r="BS116" s="195" t="s">
        <v>259</v>
      </c>
      <c r="BT116" s="195" t="s">
        <v>259</v>
      </c>
      <c r="BU116" s="195" t="s">
        <v>259</v>
      </c>
      <c r="BV116" s="195" t="s">
        <v>259</v>
      </c>
      <c r="BW116" s="195" t="s">
        <v>259</v>
      </c>
      <c r="BX116" s="195" t="s">
        <v>259</v>
      </c>
      <c r="BY116" s="195" t="s">
        <v>259</v>
      </c>
      <c r="BZ116" s="195" t="s">
        <v>259</v>
      </c>
      <c r="CA116" s="195" t="s">
        <v>259</v>
      </c>
      <c r="CB116" s="195" t="s">
        <v>259</v>
      </c>
      <c r="CD116" s="62" t="s">
        <v>260</v>
      </c>
    </row>
    <row r="117" spans="2:93">
      <c r="C117" s="76" t="s">
        <v>261</v>
      </c>
      <c r="J117" s="77">
        <f>SUM(J85:J102,J105:J110)</f>
        <v>13080.756480000004</v>
      </c>
      <c r="AS117" s="77">
        <f>SUM(AS85:AS102,AS105:AS110)</f>
        <v>1632.3191902175602</v>
      </c>
      <c r="AT117" s="77">
        <f>SUM(AT85:AT102,AT105:AT110)</f>
        <v>1632.3191902175602</v>
      </c>
      <c r="AU117" s="77">
        <f>SUM(AU85:AU102,AU105:AU110)</f>
        <v>1632.3191902175602</v>
      </c>
      <c r="AV117" s="77">
        <f>SUM(AV85:AV102,AV105:AV110)</f>
        <v>1632.3191902175602</v>
      </c>
      <c r="AY117" s="77">
        <f>SUM(AY85:AY102,AY105:AY110)</f>
        <v>19610.033240870242</v>
      </c>
      <c r="AZ117" s="116"/>
      <c r="BA117" s="220"/>
      <c r="BF117" s="116"/>
      <c r="BG117" s="116"/>
      <c r="BH117" s="116"/>
      <c r="BI117" s="116"/>
      <c r="BJ117" s="116"/>
      <c r="BK117" s="77">
        <f>SUM(BK85:BK102,BK105:BK110)</f>
        <v>19575.196351710754</v>
      </c>
      <c r="BM117" s="217"/>
      <c r="BQ117" s="77">
        <f t="shared" ref="BQ117:CB117" si="120">SUM(BQ85:BQ102,BQ105:BQ110)</f>
        <v>1849.9434024957341</v>
      </c>
      <c r="BR117" s="77">
        <f t="shared" si="120"/>
        <v>1647.8950980718178</v>
      </c>
      <c r="BS117" s="77">
        <f t="shared" si="120"/>
        <v>1709.3720069128299</v>
      </c>
      <c r="BT117" s="77">
        <f t="shared" si="120"/>
        <v>1584.0802501780884</v>
      </c>
      <c r="BU117" s="77">
        <f t="shared" si="120"/>
        <v>1645.882668342136</v>
      </c>
      <c r="BV117" s="77">
        <f t="shared" si="120"/>
        <v>1576.3683698792668</v>
      </c>
      <c r="BW117" s="77">
        <f t="shared" si="120"/>
        <v>1632.5018330058272</v>
      </c>
      <c r="BX117" s="77">
        <f t="shared" si="120"/>
        <v>1410.5886201705371</v>
      </c>
      <c r="BY117" s="77">
        <f t="shared" si="120"/>
        <v>1629.6410256636298</v>
      </c>
      <c r="BZ117" s="77">
        <f t="shared" si="120"/>
        <v>1629.6410256636298</v>
      </c>
      <c r="CA117" s="77">
        <f t="shared" si="120"/>
        <v>1629.6410256636298</v>
      </c>
      <c r="CB117" s="77">
        <f t="shared" si="120"/>
        <v>1629.6410256636298</v>
      </c>
      <c r="CD117" s="138">
        <f>IFERROR(BK117/AY117-1,0)</f>
        <v>-1.7764829223686496E-3</v>
      </c>
    </row>
    <row r="118" spans="2:93">
      <c r="C118" s="120" t="s">
        <v>262</v>
      </c>
      <c r="J118" s="77">
        <f>J103</f>
        <v>1552.3041599999999</v>
      </c>
      <c r="AS118" s="77">
        <f t="shared" ref="AS118:AV119" si="121">AS103</f>
        <v>211.86826894063526</v>
      </c>
      <c r="AT118" s="77">
        <f t="shared" si="121"/>
        <v>211.86826894063526</v>
      </c>
      <c r="AU118" s="77">
        <f t="shared" si="121"/>
        <v>211.86826894063526</v>
      </c>
      <c r="AV118" s="77">
        <f t="shared" si="121"/>
        <v>211.86826894063526</v>
      </c>
      <c r="AY118" s="77">
        <f>AY103</f>
        <v>2399.7772357625408</v>
      </c>
      <c r="AZ118" s="116"/>
      <c r="BA118" s="220"/>
      <c r="BF118" s="116"/>
      <c r="BG118" s="116"/>
      <c r="BH118" s="116"/>
      <c r="BI118" s="116"/>
      <c r="BJ118" s="116"/>
      <c r="BK118" s="77">
        <f>BK103</f>
        <v>2519.7660975506678</v>
      </c>
      <c r="BM118" s="217"/>
      <c r="BQ118" s="77">
        <f t="shared" ref="BQ118:CB118" si="122">BQ103</f>
        <v>173.18492365118166</v>
      </c>
      <c r="BR118" s="77">
        <f t="shared" si="122"/>
        <v>209.56407875894863</v>
      </c>
      <c r="BS118" s="77">
        <f t="shared" si="122"/>
        <v>223.95872566600042</v>
      </c>
      <c r="BT118" s="77">
        <f t="shared" si="122"/>
        <v>219.96358399662748</v>
      </c>
      <c r="BU118" s="77">
        <f t="shared" si="122"/>
        <v>236.36034112909161</v>
      </c>
      <c r="BV118" s="77">
        <f t="shared" si="122"/>
        <v>198.25526188428657</v>
      </c>
      <c r="BW118" s="77">
        <f t="shared" si="122"/>
        <v>192.78983545033276</v>
      </c>
      <c r="BX118" s="77">
        <f t="shared" si="122"/>
        <v>175.84261746353093</v>
      </c>
      <c r="BY118" s="77">
        <f t="shared" si="122"/>
        <v>222.46168238766703</v>
      </c>
      <c r="BZ118" s="77">
        <f t="shared" si="122"/>
        <v>222.46168238766703</v>
      </c>
      <c r="CA118" s="77">
        <f t="shared" si="122"/>
        <v>222.46168238766703</v>
      </c>
      <c r="CB118" s="77">
        <f t="shared" si="122"/>
        <v>222.46168238766703</v>
      </c>
      <c r="CD118" s="138">
        <f>IFERROR(BK118/AY118-1,0)</f>
        <v>5.0000000000000044E-2</v>
      </c>
    </row>
    <row r="119" spans="2:93" ht="12" thickBot="1">
      <c r="C119" s="84" t="s">
        <v>263</v>
      </c>
      <c r="D119" s="116"/>
      <c r="E119" s="116"/>
      <c r="F119" s="116"/>
      <c r="G119" s="116"/>
      <c r="J119" s="77">
        <f>J104</f>
        <v>1555.5596699999999</v>
      </c>
      <c r="AS119" s="77">
        <f t="shared" si="121"/>
        <v>197.9600142156562</v>
      </c>
      <c r="AT119" s="77">
        <f t="shared" si="121"/>
        <v>197.9600142156562</v>
      </c>
      <c r="AU119" s="77">
        <f t="shared" si="121"/>
        <v>197.9600142156562</v>
      </c>
      <c r="AV119" s="77">
        <f t="shared" si="121"/>
        <v>197.9600142156562</v>
      </c>
      <c r="AY119" s="77">
        <f>AY104</f>
        <v>2347.3997268626244</v>
      </c>
      <c r="AZ119" s="116"/>
      <c r="BA119" s="220"/>
      <c r="BF119" s="116"/>
      <c r="BG119" s="116"/>
      <c r="BH119" s="116"/>
      <c r="BI119" s="116"/>
      <c r="BJ119" s="116"/>
      <c r="BK119" s="77">
        <f>BK104</f>
        <v>2464.769713205756</v>
      </c>
      <c r="BM119" s="217"/>
      <c r="BQ119" s="77">
        <f t="shared" ref="BQ119:CB119" si="123">BQ104</f>
        <v>97.875112707375635</v>
      </c>
      <c r="BR119" s="77">
        <f t="shared" si="123"/>
        <v>162.95366967004747</v>
      </c>
      <c r="BS119" s="77">
        <f t="shared" si="123"/>
        <v>196.13127133390367</v>
      </c>
      <c r="BT119" s="77">
        <f t="shared" si="123"/>
        <v>201.21457593366878</v>
      </c>
      <c r="BU119" s="77">
        <f t="shared" si="123"/>
        <v>226.22819751174464</v>
      </c>
      <c r="BV119" s="77">
        <f t="shared" si="123"/>
        <v>231.23548297551926</v>
      </c>
      <c r="BW119" s="77">
        <f t="shared" si="123"/>
        <v>265.35097072965834</v>
      </c>
      <c r="BX119" s="77">
        <f t="shared" si="123"/>
        <v>252.34837263808231</v>
      </c>
      <c r="BY119" s="77">
        <f t="shared" si="123"/>
        <v>207.85801492643901</v>
      </c>
      <c r="BZ119" s="77">
        <f t="shared" si="123"/>
        <v>207.85801492643901</v>
      </c>
      <c r="CA119" s="77">
        <f t="shared" si="123"/>
        <v>207.85801492643901</v>
      </c>
      <c r="CB119" s="77">
        <f t="shared" si="123"/>
        <v>207.85801492643901</v>
      </c>
      <c r="CD119" s="138">
        <f>IFERROR(BK119/AY119-1,0)</f>
        <v>5.0000000000000044E-2</v>
      </c>
    </row>
    <row r="120" spans="2:93" ht="12" thickBot="1">
      <c r="C120" s="84" t="s">
        <v>327</v>
      </c>
      <c r="D120" s="116"/>
      <c r="E120" s="116"/>
      <c r="F120" s="116"/>
      <c r="G120" s="116"/>
      <c r="J120" s="77">
        <f>SUM(J111:J112)</f>
        <v>-964.1740800000025</v>
      </c>
      <c r="AS120" s="77">
        <f>SUM(AS111:AS112)</f>
        <v>12.5</v>
      </c>
      <c r="AT120" s="77">
        <f>SUM(AT111:AT112)</f>
        <v>12.5</v>
      </c>
      <c r="AU120" s="77">
        <f>SUM(AU111:AU112)</f>
        <v>12.5</v>
      </c>
      <c r="AV120" s="77">
        <f>SUM(AV111:AV112)</f>
        <v>826.5</v>
      </c>
      <c r="AY120" s="77">
        <f>SUM(AY111:AY112)</f>
        <v>-100.17408000000248</v>
      </c>
      <c r="AZ120" s="116"/>
      <c r="BA120" s="220"/>
      <c r="BF120" s="116"/>
      <c r="BG120" s="116"/>
      <c r="BH120" s="116"/>
      <c r="BI120" s="116"/>
      <c r="BJ120" s="116"/>
      <c r="BK120" s="77">
        <f>SUM(BK111:BK112)</f>
        <v>150</v>
      </c>
      <c r="BM120" s="217"/>
      <c r="BQ120" s="77">
        <f t="shared" ref="BQ120:CB120" si="124">SUM(BQ111:BQ112)</f>
        <v>12.5</v>
      </c>
      <c r="BR120" s="77">
        <f t="shared" si="124"/>
        <v>12.5</v>
      </c>
      <c r="BS120" s="77">
        <f t="shared" si="124"/>
        <v>12.5</v>
      </c>
      <c r="BT120" s="77">
        <f t="shared" si="124"/>
        <v>12.5</v>
      </c>
      <c r="BU120" s="77">
        <f t="shared" si="124"/>
        <v>12.5</v>
      </c>
      <c r="BV120" s="77">
        <f t="shared" si="124"/>
        <v>12.5</v>
      </c>
      <c r="BW120" s="77">
        <f t="shared" si="124"/>
        <v>12.5</v>
      </c>
      <c r="BX120" s="77">
        <f t="shared" si="124"/>
        <v>12.5</v>
      </c>
      <c r="BY120" s="77">
        <f t="shared" si="124"/>
        <v>12.5</v>
      </c>
      <c r="BZ120" s="77">
        <f t="shared" si="124"/>
        <v>12.5</v>
      </c>
      <c r="CA120" s="77">
        <f t="shared" si="124"/>
        <v>12.5</v>
      </c>
      <c r="CB120" s="77">
        <f t="shared" si="124"/>
        <v>12.5</v>
      </c>
      <c r="CD120" s="138">
        <f>IFERROR(BK120/AY120-1,0)</f>
        <v>-2.4973933376777335</v>
      </c>
    </row>
    <row r="121" spans="2:93">
      <c r="C121" s="89" t="s">
        <v>104</v>
      </c>
      <c r="D121" s="116"/>
      <c r="E121" s="116"/>
      <c r="F121" s="116"/>
      <c r="G121" s="116"/>
      <c r="J121" s="90">
        <f>SUM(J117:J120)</f>
        <v>15224.446230000001</v>
      </c>
      <c r="AS121" s="90">
        <f>SUM(AS117:AS120)</f>
        <v>2054.6474733738514</v>
      </c>
      <c r="AT121" s="90">
        <f>SUM(AT117:AT120)</f>
        <v>2054.6474733738514</v>
      </c>
      <c r="AU121" s="90">
        <f>SUM(AU117:AU120)</f>
        <v>2054.6474733738514</v>
      </c>
      <c r="AV121" s="90">
        <f>SUM(AV117:AV120)</f>
        <v>2868.6474733738514</v>
      </c>
      <c r="AY121" s="90">
        <f>SUM(AY117:AY120)</f>
        <v>24257.036123495407</v>
      </c>
      <c r="AZ121" s="116"/>
      <c r="BA121" s="220"/>
      <c r="BF121" s="116"/>
      <c r="BG121" s="116"/>
      <c r="BH121" s="116"/>
      <c r="BI121" s="116"/>
      <c r="BJ121" s="116"/>
      <c r="BK121" s="90">
        <f>SUM(BK117:BK120)</f>
        <v>24709.732162467179</v>
      </c>
      <c r="BM121" s="217"/>
      <c r="BQ121" s="90">
        <f>SUM(BQ117:BQ120)</f>
        <v>2133.5034388542913</v>
      </c>
      <c r="BR121" s="90">
        <f t="shared" ref="BR121:CB121" si="125">SUM(BR117:BR120)</f>
        <v>2032.9128465008139</v>
      </c>
      <c r="BS121" s="90">
        <f t="shared" si="125"/>
        <v>2141.962003912734</v>
      </c>
      <c r="BT121" s="90">
        <f t="shared" si="125"/>
        <v>2017.7584101083846</v>
      </c>
      <c r="BU121" s="90">
        <f t="shared" si="125"/>
        <v>2120.9712069829725</v>
      </c>
      <c r="BV121" s="90">
        <f t="shared" si="125"/>
        <v>2018.3591147390725</v>
      </c>
      <c r="BW121" s="90">
        <f t="shared" si="125"/>
        <v>2103.1426391858181</v>
      </c>
      <c r="BX121" s="90">
        <f t="shared" si="125"/>
        <v>1851.2796102721504</v>
      </c>
      <c r="BY121" s="90">
        <f t="shared" si="125"/>
        <v>2072.4607229777357</v>
      </c>
      <c r="BZ121" s="90">
        <f t="shared" si="125"/>
        <v>2072.4607229777357</v>
      </c>
      <c r="CA121" s="90">
        <f t="shared" si="125"/>
        <v>2072.4607229777357</v>
      </c>
      <c r="CB121" s="90">
        <f t="shared" si="125"/>
        <v>2072.4607229777357</v>
      </c>
      <c r="CD121" s="117">
        <f>IFERROR(BK121/AY121-1,0)</f>
        <v>1.8662462992883544E-2</v>
      </c>
    </row>
    <row r="122" spans="2:93">
      <c r="J122" s="157">
        <f>J121-J113</f>
        <v>0</v>
      </c>
      <c r="AS122" s="157">
        <f>AS121-AS113</f>
        <v>0</v>
      </c>
      <c r="AT122" s="157">
        <f>AT121-AT113</f>
        <v>0</v>
      </c>
      <c r="AU122" s="157">
        <f>AU121-AU113</f>
        <v>0</v>
      </c>
      <c r="AV122" s="157">
        <f>AV121-AV113</f>
        <v>0</v>
      </c>
      <c r="AY122" s="157">
        <f>AY121-AY113</f>
        <v>0</v>
      </c>
      <c r="AZ122" s="116"/>
      <c r="BA122" s="220"/>
      <c r="BF122" s="116"/>
      <c r="BG122" s="116"/>
      <c r="BH122" s="116"/>
      <c r="BI122" s="116"/>
      <c r="BJ122" s="116"/>
      <c r="BK122" s="157">
        <f>BK121-BK113</f>
        <v>0</v>
      </c>
      <c r="BM122" s="217"/>
      <c r="BQ122" s="196">
        <f t="shared" ref="BQ122:CB122" si="126">BQ113-BQ121</f>
        <v>0</v>
      </c>
      <c r="BR122" s="196">
        <f t="shared" si="126"/>
        <v>0</v>
      </c>
      <c r="BS122" s="196">
        <f t="shared" si="126"/>
        <v>0</v>
      </c>
      <c r="BT122" s="196">
        <f t="shared" si="126"/>
        <v>0</v>
      </c>
      <c r="BU122" s="196">
        <f t="shared" si="126"/>
        <v>0</v>
      </c>
      <c r="BV122" s="196">
        <f t="shared" si="126"/>
        <v>0</v>
      </c>
      <c r="BW122" s="196">
        <f t="shared" si="126"/>
        <v>0</v>
      </c>
      <c r="BX122" s="196">
        <f t="shared" si="126"/>
        <v>0</v>
      </c>
      <c r="BY122" s="196">
        <f t="shared" si="126"/>
        <v>0</v>
      </c>
      <c r="BZ122" s="196">
        <f t="shared" si="126"/>
        <v>0</v>
      </c>
      <c r="CA122" s="196">
        <f t="shared" si="126"/>
        <v>0</v>
      </c>
      <c r="CB122" s="196">
        <f t="shared" si="126"/>
        <v>0</v>
      </c>
      <c r="CD122" s="157"/>
    </row>
    <row r="123" spans="2:93">
      <c r="C123" s="116"/>
      <c r="D123" s="116"/>
      <c r="E123" s="116"/>
      <c r="F123" s="116"/>
      <c r="G123" s="116"/>
      <c r="BM123" s="217"/>
    </row>
    <row r="124" spans="2:93">
      <c r="C124" s="116"/>
      <c r="D124" s="116"/>
      <c r="E124" s="116"/>
      <c r="F124" s="116"/>
      <c r="G124" s="116"/>
      <c r="BM124" s="217"/>
    </row>
    <row r="125" spans="2:93">
      <c r="C125" s="116"/>
      <c r="D125" s="116"/>
      <c r="E125" s="116"/>
      <c r="F125" s="116"/>
      <c r="G125" s="116"/>
      <c r="BK125" s="217" t="s">
        <v>336</v>
      </c>
      <c r="BM125" s="217"/>
    </row>
    <row r="126" spans="2:93">
      <c r="C126" s="116"/>
      <c r="D126" s="116"/>
      <c r="E126" s="116"/>
      <c r="F126" s="116"/>
      <c r="G126" s="116"/>
    </row>
    <row r="127" spans="2:93">
      <c r="C127" s="116"/>
      <c r="D127" s="116"/>
      <c r="E127" s="116"/>
      <c r="F127" s="116"/>
      <c r="G127" s="116"/>
      <c r="BK127" s="217" t="s">
        <v>339</v>
      </c>
    </row>
    <row r="128" spans="2:93">
      <c r="C128" s="116"/>
      <c r="D128" s="116"/>
      <c r="E128" s="116"/>
      <c r="F128" s="116"/>
      <c r="G128" s="116"/>
      <c r="BJ128" s="120" t="s">
        <v>337</v>
      </c>
      <c r="BK128" s="193">
        <f>BK23</f>
        <v>5537.0132999999996</v>
      </c>
    </row>
    <row r="129" spans="3:67" ht="12" thickBot="1">
      <c r="C129" s="116"/>
      <c r="D129" s="116"/>
      <c r="E129" s="116"/>
      <c r="F129" s="116"/>
      <c r="G129" s="116"/>
      <c r="BJ129" s="84" t="s">
        <v>338</v>
      </c>
      <c r="BK129" s="193">
        <f>BK24</f>
        <v>5447.0667999999996</v>
      </c>
    </row>
    <row r="130" spans="3:67">
      <c r="C130" s="116"/>
      <c r="D130" s="116"/>
      <c r="E130" s="116"/>
      <c r="F130" s="116"/>
      <c r="G130" s="116"/>
    </row>
    <row r="131" spans="3:67">
      <c r="C131" s="116"/>
      <c r="D131" s="116"/>
      <c r="E131" s="116"/>
      <c r="F131" s="116"/>
      <c r="G131" s="116"/>
      <c r="BK131" s="217" t="s">
        <v>340</v>
      </c>
    </row>
    <row r="132" spans="3:67">
      <c r="C132" s="116"/>
      <c r="D132" s="116"/>
      <c r="E132" s="116"/>
      <c r="F132" s="116"/>
      <c r="G132" s="116"/>
      <c r="BJ132" s="120" t="s">
        <v>337</v>
      </c>
      <c r="BK132" s="208">
        <f>1.4/1.03-BK63</f>
        <v>0.91273526718391929</v>
      </c>
    </row>
    <row r="133" spans="3:67" ht="12" thickBot="1">
      <c r="C133" s="116"/>
      <c r="D133" s="116"/>
      <c r="E133" s="116"/>
      <c r="F133" s="116"/>
      <c r="G133" s="116"/>
      <c r="BJ133" s="84" t="s">
        <v>338</v>
      </c>
      <c r="BK133" s="208">
        <f>1.4/1.03-BK64</f>
        <v>0.90414653647210175</v>
      </c>
    </row>
    <row r="134" spans="3:67">
      <c r="C134" s="116"/>
      <c r="D134" s="116"/>
      <c r="E134" s="116"/>
      <c r="F134" s="116"/>
      <c r="G134" s="116"/>
    </row>
    <row r="135" spans="3:67">
      <c r="C135" s="116"/>
      <c r="D135" s="116"/>
      <c r="E135" s="116"/>
      <c r="F135" s="116"/>
      <c r="G135" s="116"/>
      <c r="BK135" s="217" t="s">
        <v>341</v>
      </c>
    </row>
    <row r="136" spans="3:67">
      <c r="C136" s="116"/>
      <c r="D136" s="116"/>
      <c r="E136" s="116"/>
      <c r="F136" s="116"/>
      <c r="G136" s="116"/>
      <c r="BJ136" s="120" t="s">
        <v>337</v>
      </c>
      <c r="BK136" s="193">
        <f>BK128*BK132</f>
        <v>5053.8273137764145</v>
      </c>
    </row>
    <row r="137" spans="3:67" ht="12" thickBot="1">
      <c r="C137" s="116"/>
      <c r="D137" s="116"/>
      <c r="E137" s="116"/>
      <c r="F137" s="116"/>
      <c r="G137" s="116"/>
      <c r="BJ137" s="84" t="s">
        <v>338</v>
      </c>
      <c r="BK137" s="193">
        <f>BK129*BK133</f>
        <v>4924.9465811521741</v>
      </c>
    </row>
    <row r="138" spans="3:67">
      <c r="C138" s="116"/>
      <c r="D138" s="116"/>
      <c r="E138" s="116"/>
      <c r="F138" s="116"/>
      <c r="G138" s="116"/>
      <c r="BK138" s="302">
        <f>SUM(BK136:BK137)</f>
        <v>9978.7738949285886</v>
      </c>
    </row>
    <row r="139" spans="3:67">
      <c r="C139" s="116"/>
      <c r="D139" s="116"/>
      <c r="E139" s="116"/>
      <c r="F139" s="116"/>
      <c r="G139" s="116"/>
    </row>
    <row r="140" spans="3:67">
      <c r="C140" s="116"/>
      <c r="D140" s="116"/>
      <c r="E140" s="116"/>
      <c r="F140" s="116"/>
      <c r="G140" s="116"/>
      <c r="BK140" s="217" t="s">
        <v>344</v>
      </c>
    </row>
    <row r="141" spans="3:67">
      <c r="C141" s="116"/>
      <c r="D141" s="116"/>
      <c r="E141" s="116"/>
      <c r="F141" s="116"/>
      <c r="G141" s="116"/>
      <c r="BJ141" s="308" t="s">
        <v>342</v>
      </c>
      <c r="BK141" s="193" t="e">
        <f>#REF!/1000+#REF!/1000</f>
        <v>#REF!</v>
      </c>
    </row>
    <row r="142" spans="3:67">
      <c r="C142" s="116"/>
      <c r="D142" s="116"/>
      <c r="E142" s="116"/>
      <c r="F142" s="116"/>
      <c r="G142" s="116"/>
      <c r="BJ142" s="308" t="s">
        <v>343</v>
      </c>
      <c r="BK142" s="193" t="e">
        <f>#REF!/1000</f>
        <v>#REF!</v>
      </c>
    </row>
    <row r="143" spans="3:67" ht="12" thickBot="1">
      <c r="C143" s="116"/>
      <c r="D143" s="116"/>
      <c r="E143" s="116"/>
      <c r="F143" s="116"/>
      <c r="G143" s="116"/>
      <c r="BK143" s="302" t="e">
        <f>SUM(BK141:BK142)</f>
        <v>#REF!</v>
      </c>
    </row>
    <row r="144" spans="3:67">
      <c r="C144" s="116"/>
      <c r="D144" s="116"/>
      <c r="E144" s="116"/>
      <c r="F144" s="116"/>
      <c r="G144" s="116"/>
      <c r="BJ144" s="379"/>
      <c r="BK144" s="380"/>
      <c r="BL144" s="380"/>
      <c r="BM144" s="380"/>
      <c r="BN144" s="380"/>
      <c r="BO144" s="381"/>
    </row>
    <row r="145" spans="2:67">
      <c r="B145" s="92"/>
      <c r="C145" s="90"/>
      <c r="D145" s="90"/>
      <c r="E145" s="90"/>
      <c r="F145" s="90"/>
      <c r="G145" s="90"/>
      <c r="BJ145" s="382"/>
      <c r="BK145" s="389" t="s">
        <v>345</v>
      </c>
      <c r="BL145" s="383"/>
      <c r="BM145" s="383"/>
      <c r="BN145" s="383"/>
      <c r="BO145" s="384"/>
    </row>
    <row r="146" spans="2:67" ht="12.75">
      <c r="C146" s="116"/>
      <c r="D146" s="116"/>
      <c r="E146" s="116"/>
      <c r="F146" s="116"/>
      <c r="G146" s="116"/>
      <c r="BJ146" s="382"/>
      <c r="BK146" s="388" t="e">
        <f>BK136-BK141</f>
        <v>#REF!</v>
      </c>
      <c r="BL146" s="383"/>
      <c r="BM146" s="383"/>
      <c r="BN146" s="383"/>
      <c r="BO146" s="384"/>
    </row>
    <row r="147" spans="2:67" ht="12.75">
      <c r="C147" s="116"/>
      <c r="D147" s="116"/>
      <c r="E147" s="116"/>
      <c r="F147" s="116"/>
      <c r="G147" s="116"/>
      <c r="BJ147" s="382"/>
      <c r="BK147" s="388" t="e">
        <f>BK137-BK142</f>
        <v>#REF!</v>
      </c>
      <c r="BL147" s="383"/>
      <c r="BM147" s="383"/>
      <c r="BN147" s="383"/>
      <c r="BO147" s="384"/>
    </row>
    <row r="148" spans="2:67" ht="12" thickBot="1">
      <c r="C148" s="116"/>
      <c r="D148" s="116"/>
      <c r="E148" s="116"/>
      <c r="F148" s="116"/>
      <c r="G148" s="116"/>
      <c r="BJ148" s="385"/>
      <c r="BK148" s="386"/>
      <c r="BL148" s="386"/>
      <c r="BM148" s="386"/>
      <c r="BN148" s="386"/>
      <c r="BO148" s="387"/>
    </row>
    <row r="149" spans="2:67">
      <c r="C149" s="116"/>
      <c r="D149" s="116"/>
      <c r="E149" s="116"/>
      <c r="F149" s="116"/>
      <c r="G149" s="116"/>
    </row>
    <row r="150" spans="2:67">
      <c r="C150" s="116"/>
      <c r="D150" s="116"/>
      <c r="E150" s="116"/>
      <c r="F150" s="116"/>
      <c r="G150" s="116"/>
    </row>
    <row r="151" spans="2:67">
      <c r="C151" s="116"/>
      <c r="D151" s="116"/>
      <c r="E151" s="116"/>
      <c r="F151" s="116"/>
      <c r="G151" s="116"/>
    </row>
    <row r="152" spans="2:67">
      <c r="C152" s="116"/>
      <c r="D152" s="116"/>
      <c r="E152" s="116"/>
      <c r="F152" s="116"/>
      <c r="G152" s="116"/>
    </row>
    <row r="153" spans="2:67">
      <c r="C153" s="116"/>
      <c r="D153" s="116"/>
      <c r="E153" s="116"/>
      <c r="F153" s="116"/>
      <c r="G153" s="116"/>
    </row>
    <row r="154" spans="2:67">
      <c r="C154" s="116"/>
      <c r="D154" s="116"/>
      <c r="E154" s="116"/>
      <c r="F154" s="116"/>
      <c r="G154" s="116"/>
    </row>
    <row r="155" spans="2:67">
      <c r="C155" s="116"/>
      <c r="D155" s="116"/>
      <c r="E155" s="116"/>
      <c r="F155" s="116"/>
      <c r="G155" s="116"/>
    </row>
    <row r="156" spans="2:67">
      <c r="C156" s="116"/>
      <c r="D156" s="116"/>
      <c r="E156" s="116"/>
      <c r="F156" s="116"/>
      <c r="G156" s="116"/>
    </row>
    <row r="157" spans="2:67">
      <c r="C157" s="116"/>
      <c r="D157" s="116"/>
      <c r="E157" s="116"/>
      <c r="F157" s="116"/>
      <c r="G157" s="116"/>
    </row>
    <row r="158" spans="2:67">
      <c r="C158" s="116"/>
      <c r="D158" s="116"/>
      <c r="E158" s="116"/>
      <c r="F158" s="116"/>
      <c r="G158" s="116"/>
    </row>
    <row r="159" spans="2:67">
      <c r="C159" s="116"/>
      <c r="D159" s="116"/>
      <c r="E159" s="116"/>
      <c r="F159" s="116"/>
      <c r="G159" s="116"/>
    </row>
    <row r="160" spans="2:67">
      <c r="C160" s="116"/>
      <c r="D160" s="116"/>
      <c r="E160" s="116"/>
      <c r="F160" s="116"/>
      <c r="G160" s="116"/>
    </row>
    <row r="161" spans="3:7">
      <c r="C161" s="116"/>
      <c r="D161" s="116"/>
      <c r="E161" s="116"/>
      <c r="F161" s="116"/>
      <c r="G161" s="116"/>
    </row>
    <row r="162" spans="3:7">
      <c r="C162" s="116"/>
      <c r="D162" s="116"/>
      <c r="E162" s="116"/>
      <c r="F162" s="116"/>
      <c r="G162" s="116"/>
    </row>
    <row r="163" spans="3:7">
      <c r="C163" s="116"/>
      <c r="D163" s="116"/>
      <c r="E163" s="116"/>
      <c r="F163" s="116"/>
      <c r="G163" s="116"/>
    </row>
    <row r="164" spans="3:7">
      <c r="C164" s="116"/>
      <c r="D164" s="116"/>
      <c r="E164" s="116"/>
      <c r="F164" s="116"/>
      <c r="G164" s="116"/>
    </row>
    <row r="165" spans="3:7">
      <c r="C165" s="116"/>
      <c r="D165" s="116"/>
      <c r="E165" s="116"/>
      <c r="F165" s="116"/>
      <c r="G165" s="116"/>
    </row>
    <row r="166" spans="3:7">
      <c r="C166" s="116"/>
      <c r="D166" s="116"/>
      <c r="E166" s="116"/>
      <c r="F166" s="116"/>
      <c r="G166" s="116"/>
    </row>
    <row r="167" spans="3:7">
      <c r="C167" s="116"/>
      <c r="D167" s="116"/>
      <c r="E167" s="116"/>
      <c r="F167" s="116"/>
      <c r="G167" s="116"/>
    </row>
    <row r="168" spans="3:7">
      <c r="C168" s="116"/>
      <c r="D168" s="116"/>
      <c r="E168" s="116"/>
      <c r="F168" s="116"/>
      <c r="G168" s="116"/>
    </row>
    <row r="169" spans="3:7">
      <c r="C169" s="116"/>
      <c r="D169" s="116"/>
      <c r="E169" s="116"/>
      <c r="F169" s="116"/>
      <c r="G169" s="116"/>
    </row>
    <row r="170" spans="3:7">
      <c r="C170" s="116"/>
      <c r="D170" s="116"/>
      <c r="E170" s="116"/>
      <c r="F170" s="116"/>
      <c r="G170" s="116"/>
    </row>
    <row r="171" spans="3:7">
      <c r="C171" s="116"/>
      <c r="D171" s="116"/>
      <c r="E171" s="116"/>
      <c r="F171" s="116"/>
      <c r="G171" s="116"/>
    </row>
    <row r="172" spans="3:7">
      <c r="C172" s="116"/>
      <c r="D172" s="116"/>
      <c r="E172" s="116"/>
      <c r="F172" s="116"/>
      <c r="G172" s="116"/>
    </row>
    <row r="173" spans="3:7">
      <c r="C173" s="116"/>
      <c r="D173" s="116"/>
      <c r="E173" s="116"/>
      <c r="F173" s="116"/>
      <c r="G173" s="116"/>
    </row>
    <row r="174" spans="3:7">
      <c r="C174" s="116"/>
      <c r="D174" s="116"/>
      <c r="E174" s="116"/>
      <c r="F174" s="116"/>
      <c r="G174" s="116"/>
    </row>
    <row r="175" spans="3:7">
      <c r="C175" s="116"/>
      <c r="D175" s="116"/>
      <c r="E175" s="116"/>
      <c r="F175" s="116"/>
      <c r="G175" s="116"/>
    </row>
    <row r="176" spans="3:7">
      <c r="C176" s="116"/>
      <c r="D176" s="116"/>
      <c r="E176" s="116"/>
      <c r="F176" s="116"/>
      <c r="G176" s="116"/>
    </row>
    <row r="177" spans="3:7">
      <c r="C177" s="116"/>
      <c r="D177" s="116"/>
      <c r="E177" s="116"/>
      <c r="F177" s="116"/>
      <c r="G177" s="116"/>
    </row>
    <row r="178" spans="3:7">
      <c r="C178" s="116"/>
      <c r="D178" s="116"/>
      <c r="E178" s="116"/>
      <c r="F178" s="116"/>
      <c r="G178" s="116"/>
    </row>
    <row r="179" spans="3:7">
      <c r="C179" s="116"/>
      <c r="D179" s="116"/>
      <c r="E179" s="116"/>
      <c r="F179" s="116"/>
      <c r="G179" s="116"/>
    </row>
    <row r="180" spans="3:7">
      <c r="C180" s="116"/>
      <c r="D180" s="116"/>
      <c r="E180" s="116"/>
      <c r="F180" s="116"/>
      <c r="G180" s="116"/>
    </row>
    <row r="181" spans="3:7">
      <c r="C181" s="116"/>
      <c r="D181" s="116"/>
      <c r="E181" s="116"/>
      <c r="F181" s="116"/>
      <c r="G181" s="116"/>
    </row>
    <row r="182" spans="3:7">
      <c r="C182" s="116"/>
      <c r="D182" s="116"/>
      <c r="E182" s="116"/>
      <c r="F182" s="116"/>
      <c r="G182" s="116"/>
    </row>
    <row r="183" spans="3:7">
      <c r="C183" s="116"/>
      <c r="D183" s="116"/>
      <c r="E183" s="116"/>
      <c r="F183" s="116"/>
      <c r="G183" s="116"/>
    </row>
    <row r="184" spans="3:7">
      <c r="C184" s="116"/>
      <c r="D184" s="116"/>
      <c r="E184" s="116"/>
      <c r="F184" s="116"/>
      <c r="G184" s="116"/>
    </row>
    <row r="185" spans="3:7">
      <c r="C185" s="116"/>
      <c r="D185" s="116"/>
      <c r="E185" s="116"/>
      <c r="F185" s="116"/>
      <c r="G185" s="116"/>
    </row>
    <row r="186" spans="3:7">
      <c r="C186" s="116"/>
      <c r="D186" s="116"/>
      <c r="E186" s="116"/>
      <c r="F186" s="116"/>
      <c r="G186" s="116"/>
    </row>
    <row r="187" spans="3:7">
      <c r="C187" s="116"/>
      <c r="D187" s="116"/>
      <c r="E187" s="116"/>
      <c r="F187" s="116"/>
      <c r="G187" s="116"/>
    </row>
    <row r="188" spans="3:7">
      <c r="C188" s="116"/>
      <c r="D188" s="116"/>
      <c r="E188" s="116"/>
      <c r="F188" s="116"/>
      <c r="G188" s="116"/>
    </row>
    <row r="189" spans="3:7">
      <c r="C189" s="116"/>
      <c r="D189" s="116"/>
      <c r="E189" s="116"/>
      <c r="F189" s="116"/>
      <c r="G189" s="116"/>
    </row>
    <row r="190" spans="3:7">
      <c r="C190" s="116"/>
      <c r="D190" s="116"/>
      <c r="E190" s="116"/>
      <c r="F190" s="116"/>
      <c r="G190" s="116"/>
    </row>
    <row r="191" spans="3:7">
      <c r="C191" s="116"/>
      <c r="D191" s="116"/>
      <c r="E191" s="116"/>
      <c r="F191" s="116"/>
      <c r="G191" s="116"/>
    </row>
    <row r="192" spans="3:7">
      <c r="C192" s="116"/>
      <c r="D192" s="116"/>
      <c r="E192" s="116"/>
      <c r="F192" s="116"/>
      <c r="G192" s="116"/>
    </row>
    <row r="193" spans="3:7">
      <c r="C193" s="116"/>
      <c r="D193" s="116"/>
      <c r="E193" s="116"/>
      <c r="F193" s="116"/>
      <c r="G193" s="116"/>
    </row>
    <row r="194" spans="3:7">
      <c r="C194" s="116"/>
      <c r="D194" s="116"/>
      <c r="E194" s="116"/>
      <c r="F194" s="116"/>
      <c r="G194" s="116"/>
    </row>
    <row r="195" spans="3:7">
      <c r="C195" s="116"/>
      <c r="D195" s="116"/>
      <c r="E195" s="116"/>
      <c r="F195" s="116"/>
      <c r="G195" s="116"/>
    </row>
    <row r="196" spans="3:7">
      <c r="C196" s="116"/>
      <c r="D196" s="116"/>
      <c r="E196" s="116"/>
      <c r="F196" s="116"/>
      <c r="G196" s="116"/>
    </row>
    <row r="197" spans="3:7">
      <c r="C197" s="116"/>
      <c r="D197" s="116"/>
      <c r="E197" s="116"/>
      <c r="F197" s="116"/>
      <c r="G197" s="116"/>
    </row>
    <row r="198" spans="3:7">
      <c r="C198" s="116"/>
      <c r="D198" s="116"/>
      <c r="E198" s="116"/>
      <c r="F198" s="116"/>
      <c r="G198" s="116"/>
    </row>
    <row r="199" spans="3:7">
      <c r="C199" s="116"/>
      <c r="D199" s="116"/>
      <c r="E199" s="116"/>
      <c r="F199" s="116"/>
      <c r="G199" s="116"/>
    </row>
    <row r="200" spans="3:7">
      <c r="C200" s="116"/>
      <c r="D200" s="116"/>
      <c r="E200" s="116"/>
      <c r="F200" s="116"/>
      <c r="G200" s="116"/>
    </row>
    <row r="201" spans="3:7">
      <c r="C201" s="116"/>
      <c r="D201" s="116"/>
      <c r="E201" s="116"/>
      <c r="F201" s="116"/>
      <c r="G201" s="116"/>
    </row>
    <row r="202" spans="3:7">
      <c r="C202" s="116"/>
      <c r="D202" s="116"/>
      <c r="E202" s="116"/>
      <c r="F202" s="116"/>
      <c r="G202" s="116"/>
    </row>
    <row r="203" spans="3:7">
      <c r="C203" s="116"/>
      <c r="D203" s="116"/>
      <c r="E203" s="116"/>
      <c r="F203" s="116"/>
      <c r="G203" s="116"/>
    </row>
    <row r="204" spans="3:7">
      <c r="C204" s="116"/>
      <c r="D204" s="116"/>
      <c r="E204" s="116"/>
      <c r="F204" s="116"/>
      <c r="G204" s="116"/>
    </row>
    <row r="205" spans="3:7">
      <c r="C205" s="116"/>
      <c r="D205" s="116"/>
      <c r="E205" s="116"/>
      <c r="F205" s="116"/>
      <c r="G205" s="116"/>
    </row>
    <row r="206" spans="3:7">
      <c r="C206" s="116"/>
      <c r="D206" s="116"/>
      <c r="E206" s="116"/>
      <c r="F206" s="116"/>
      <c r="G206" s="116"/>
    </row>
    <row r="207" spans="3:7">
      <c r="C207" s="116"/>
      <c r="D207" s="116"/>
      <c r="E207" s="116"/>
      <c r="F207" s="116"/>
      <c r="G207" s="116"/>
    </row>
    <row r="208" spans="3:7">
      <c r="C208" s="116"/>
      <c r="D208" s="116"/>
      <c r="E208" s="116"/>
      <c r="F208" s="116"/>
      <c r="G208" s="116"/>
    </row>
    <row r="209" spans="3:7">
      <c r="C209" s="116"/>
      <c r="D209" s="116"/>
      <c r="E209" s="116"/>
      <c r="F209" s="116"/>
      <c r="G209" s="116"/>
    </row>
    <row r="210" spans="3:7">
      <c r="C210" s="116"/>
      <c r="D210" s="116"/>
      <c r="E210" s="116"/>
      <c r="F210" s="116"/>
      <c r="G210" s="116"/>
    </row>
    <row r="211" spans="3:7">
      <c r="C211" s="116"/>
      <c r="D211" s="116"/>
      <c r="E211" s="116"/>
      <c r="F211" s="116"/>
      <c r="G211" s="116"/>
    </row>
    <row r="212" spans="3:7">
      <c r="C212" s="116"/>
      <c r="D212" s="116"/>
      <c r="E212" s="116"/>
      <c r="F212" s="116"/>
      <c r="G212" s="116"/>
    </row>
    <row r="213" spans="3:7">
      <c r="C213" s="116"/>
      <c r="D213" s="116"/>
      <c r="E213" s="116"/>
      <c r="F213" s="116"/>
      <c r="G213" s="116"/>
    </row>
    <row r="214" spans="3:7">
      <c r="C214" s="116"/>
      <c r="D214" s="116"/>
      <c r="E214" s="116"/>
      <c r="F214" s="116"/>
      <c r="G214" s="116"/>
    </row>
    <row r="215" spans="3:7">
      <c r="C215" s="116"/>
      <c r="D215" s="116"/>
      <c r="E215" s="116"/>
      <c r="F215" s="116"/>
      <c r="G215" s="116"/>
    </row>
    <row r="216" spans="3:7">
      <c r="C216" s="116"/>
      <c r="D216" s="116"/>
      <c r="E216" s="116"/>
      <c r="F216" s="116"/>
      <c r="G216" s="116"/>
    </row>
    <row r="217" spans="3:7">
      <c r="C217" s="116"/>
      <c r="D217" s="116"/>
      <c r="E217" s="116"/>
      <c r="F217" s="116"/>
      <c r="G217" s="116"/>
    </row>
    <row r="218" spans="3:7">
      <c r="C218" s="116"/>
      <c r="D218" s="116"/>
      <c r="E218" s="116"/>
      <c r="F218" s="116"/>
      <c r="G218" s="116"/>
    </row>
    <row r="219" spans="3:7">
      <c r="C219" s="116"/>
      <c r="D219" s="116"/>
      <c r="E219" s="116"/>
      <c r="F219" s="116"/>
      <c r="G219" s="116"/>
    </row>
    <row r="220" spans="3:7">
      <c r="C220" s="116"/>
      <c r="D220" s="116"/>
      <c r="E220" s="116"/>
      <c r="F220" s="116"/>
      <c r="G220" s="116"/>
    </row>
    <row r="221" spans="3:7">
      <c r="C221" s="116"/>
      <c r="D221" s="116"/>
      <c r="E221" s="116"/>
      <c r="F221" s="116"/>
      <c r="G221" s="116"/>
    </row>
    <row r="222" spans="3:7">
      <c r="C222" s="116"/>
      <c r="D222" s="116"/>
      <c r="E222" s="116"/>
      <c r="F222" s="116"/>
      <c r="G222" s="116"/>
    </row>
    <row r="223" spans="3:7">
      <c r="C223" s="116"/>
      <c r="D223" s="116"/>
      <c r="E223" s="116"/>
      <c r="F223" s="116"/>
      <c r="G223" s="116"/>
    </row>
    <row r="224" spans="3:7">
      <c r="C224" s="116"/>
      <c r="D224" s="116"/>
      <c r="E224" s="116"/>
      <c r="F224" s="116"/>
      <c r="G224" s="116"/>
    </row>
    <row r="225" spans="3:7">
      <c r="C225" s="116"/>
      <c r="D225" s="116"/>
      <c r="E225" s="116"/>
      <c r="F225" s="116"/>
      <c r="G225" s="116"/>
    </row>
    <row r="226" spans="3:7">
      <c r="C226" s="116"/>
      <c r="D226" s="116"/>
      <c r="E226" s="116"/>
      <c r="F226" s="116"/>
      <c r="G226" s="116"/>
    </row>
    <row r="227" spans="3:7">
      <c r="C227" s="116"/>
      <c r="D227" s="116"/>
      <c r="E227" s="116"/>
      <c r="F227" s="116"/>
      <c r="G227" s="116"/>
    </row>
    <row r="228" spans="3:7">
      <c r="C228" s="116"/>
      <c r="D228" s="116"/>
      <c r="E228" s="116"/>
      <c r="F228" s="116"/>
      <c r="G228" s="116"/>
    </row>
    <row r="229" spans="3:7">
      <c r="C229" s="116"/>
      <c r="D229" s="116"/>
      <c r="E229" s="116"/>
      <c r="F229" s="116"/>
      <c r="G229" s="116"/>
    </row>
    <row r="230" spans="3:7">
      <c r="C230" s="116"/>
      <c r="D230" s="116"/>
      <c r="E230" s="116"/>
      <c r="F230" s="116"/>
      <c r="G230" s="116"/>
    </row>
    <row r="231" spans="3:7">
      <c r="C231" s="116"/>
      <c r="D231" s="116"/>
      <c r="E231" s="116"/>
      <c r="F231" s="116"/>
      <c r="G231" s="116"/>
    </row>
    <row r="232" spans="3:7">
      <c r="C232" s="116"/>
      <c r="D232" s="116"/>
      <c r="E232" s="116"/>
      <c r="F232" s="116"/>
      <c r="G232" s="116"/>
    </row>
    <row r="233" spans="3:7">
      <c r="C233" s="116"/>
      <c r="D233" s="116"/>
      <c r="E233" s="116"/>
      <c r="F233" s="116"/>
      <c r="G233" s="116"/>
    </row>
    <row r="234" spans="3:7">
      <c r="C234" s="116"/>
      <c r="D234" s="116"/>
      <c r="E234" s="116"/>
      <c r="F234" s="116"/>
      <c r="G234" s="116"/>
    </row>
    <row r="235" spans="3:7">
      <c r="C235" s="116"/>
      <c r="D235" s="116"/>
      <c r="E235" s="116"/>
      <c r="F235" s="116"/>
      <c r="G235" s="116"/>
    </row>
    <row r="236" spans="3:7">
      <c r="C236" s="116"/>
      <c r="D236" s="116"/>
      <c r="E236" s="116"/>
      <c r="F236" s="116"/>
      <c r="G236" s="116"/>
    </row>
    <row r="237" spans="3:7">
      <c r="C237" s="116"/>
      <c r="D237" s="116"/>
      <c r="E237" s="116"/>
      <c r="F237" s="116"/>
      <c r="G237" s="116"/>
    </row>
    <row r="238" spans="3:7">
      <c r="C238" s="116"/>
      <c r="D238" s="116"/>
      <c r="E238" s="116"/>
      <c r="F238" s="116"/>
      <c r="G238" s="116"/>
    </row>
    <row r="239" spans="3:7">
      <c r="C239" s="116"/>
      <c r="D239" s="116"/>
      <c r="E239" s="116"/>
      <c r="F239" s="116"/>
      <c r="G239" s="116"/>
    </row>
  </sheetData>
  <hyperlinks>
    <hyperlink ref="A1" location="'3. P y G PRESENTACION'!A1" display="PyG"/>
  </hyperlinks>
  <pageMargins left="0.7" right="0.7" top="0.75" bottom="0.75" header="0.3" footer="0.3"/>
  <pageSetup paperSize="9" orientation="portrait" r:id="rId1"/>
  <legacyDrawing r:id="rId2"/>
</worksheet>
</file>

<file path=xl/worksheets/sheet18.xml><?xml version="1.0" encoding="utf-8"?>
<worksheet xmlns="http://schemas.openxmlformats.org/spreadsheetml/2006/main" xmlns:r="http://schemas.openxmlformats.org/officeDocument/2006/relationships">
  <sheetPr>
    <tabColor rgb="FFFFFF99"/>
  </sheetPr>
  <dimension ref="B1:X105"/>
  <sheetViews>
    <sheetView workbookViewId="0">
      <selection activeCell="D94" sqref="D94:D105"/>
    </sheetView>
  </sheetViews>
  <sheetFormatPr baseColWidth="10" defaultColWidth="11.42578125" defaultRowHeight="12"/>
  <cols>
    <col min="1" max="1" width="2.42578125" style="5" customWidth="1"/>
    <col min="2" max="2" width="24.5703125" style="5" customWidth="1"/>
    <col min="3" max="11" width="10" style="5" customWidth="1"/>
    <col min="12" max="12" width="11.42578125" style="5"/>
    <col min="13" max="13" width="2.42578125" style="5" customWidth="1"/>
    <col min="14" max="14" width="24.5703125" style="5" customWidth="1"/>
    <col min="15" max="23" width="10" style="5" customWidth="1"/>
    <col min="24" max="16384" width="11.42578125" style="5"/>
  </cols>
  <sheetData>
    <row r="1" spans="2:24" ht="12.75" thickBot="1"/>
    <row r="2" spans="2:24" s="331" customFormat="1" ht="12.75" thickBot="1">
      <c r="B2" s="330"/>
      <c r="C2" s="333">
        <v>2018</v>
      </c>
      <c r="D2" s="333"/>
      <c r="E2" s="334"/>
      <c r="F2" s="335">
        <v>2019</v>
      </c>
      <c r="G2" s="336"/>
      <c r="H2" s="337"/>
      <c r="I2" s="338" t="s">
        <v>334</v>
      </c>
      <c r="J2" s="339"/>
      <c r="K2" s="340"/>
      <c r="N2" s="330"/>
      <c r="O2" s="335">
        <v>2019</v>
      </c>
      <c r="P2" s="336"/>
      <c r="Q2" s="337"/>
      <c r="R2" s="342">
        <v>2020</v>
      </c>
      <c r="S2" s="343"/>
      <c r="T2" s="344"/>
      <c r="U2" s="338" t="s">
        <v>335</v>
      </c>
      <c r="V2" s="339"/>
      <c r="W2" s="340"/>
    </row>
    <row r="3" spans="2:24" s="327" customFormat="1" ht="23.25" thickBot="1">
      <c r="B3" s="332" t="s">
        <v>112</v>
      </c>
      <c r="C3" s="326" t="s">
        <v>330</v>
      </c>
      <c r="D3" s="356" t="s">
        <v>257</v>
      </c>
      <c r="E3" s="357" t="s">
        <v>258</v>
      </c>
      <c r="F3" s="328" t="s">
        <v>330</v>
      </c>
      <c r="G3" s="358" t="s">
        <v>257</v>
      </c>
      <c r="H3" s="359" t="s">
        <v>258</v>
      </c>
      <c r="I3" s="329" t="s">
        <v>331</v>
      </c>
      <c r="J3" s="360" t="s">
        <v>332</v>
      </c>
      <c r="K3" s="361" t="s">
        <v>333</v>
      </c>
      <c r="N3" s="332" t="s">
        <v>112</v>
      </c>
      <c r="O3" s="328" t="s">
        <v>330</v>
      </c>
      <c r="P3" s="358" t="s">
        <v>257</v>
      </c>
      <c r="Q3" s="359" t="s">
        <v>258</v>
      </c>
      <c r="R3" s="362" t="s">
        <v>330</v>
      </c>
      <c r="S3" s="363" t="s">
        <v>257</v>
      </c>
      <c r="T3" s="364" t="s">
        <v>258</v>
      </c>
      <c r="U3" s="329" t="s">
        <v>331</v>
      </c>
      <c r="V3" s="360" t="s">
        <v>332</v>
      </c>
      <c r="W3" s="361" t="s">
        <v>333</v>
      </c>
    </row>
    <row r="4" spans="2:24">
      <c r="B4" s="73" t="s">
        <v>58</v>
      </c>
      <c r="C4" s="354">
        <f>'Info Pasajeros e Ingresos P20'!S5</f>
        <v>5241.277</v>
      </c>
      <c r="D4" s="109"/>
      <c r="E4" s="175">
        <f>IFERROR(D4/C4,0)</f>
        <v>0</v>
      </c>
      <c r="F4" s="354">
        <f>'Info Pasajeros e Ingresos P20'!AY5</f>
        <v>4936.2740000000003</v>
      </c>
      <c r="G4" s="355">
        <f>'Info Pasajeros e Ingresos P20'!AY85</f>
        <v>6710.1781203710852</v>
      </c>
      <c r="H4" s="366">
        <f t="shared" ref="H4:H32" si="0">IFERROR(G4/F4,0)</f>
        <v>1.3593609512703477</v>
      </c>
      <c r="I4" s="372">
        <f>(F4-C4)*$Q$32</f>
        <v>-213.91701529094951</v>
      </c>
      <c r="J4" s="373">
        <f>(F4-C4)*(E4-$Q$32)</f>
        <v>213.91701529094951</v>
      </c>
      <c r="K4" s="374">
        <f>F4*(H4-E4)</f>
        <v>6710.1781203710852</v>
      </c>
      <c r="L4" s="341">
        <f>G4-D4-SUM(I4:K4)</f>
        <v>0</v>
      </c>
      <c r="N4" s="73" t="s">
        <v>58</v>
      </c>
      <c r="O4" s="354">
        <f>'Info Pasajeros e Ingresos P20'!AY5</f>
        <v>4936.2740000000003</v>
      </c>
      <c r="P4" s="355">
        <f>'Info Pasajeros e Ingresos P20'!AY85</f>
        <v>6710.1781203710852</v>
      </c>
      <c r="Q4" s="366">
        <f>IFERROR(P4/O4,0)</f>
        <v>1.3593609512703477</v>
      </c>
      <c r="R4" s="354">
        <f>'Info Pasajeros e Ingresos P20'!BK5</f>
        <v>5059.6808499999997</v>
      </c>
      <c r="S4" s="355">
        <f>'Info Pasajeros e Ingresos P20'!BK85</f>
        <v>6877.9325733803616</v>
      </c>
      <c r="T4" s="366">
        <f t="shared" ref="T4:T33" si="1">IFERROR(S4/R4,0)</f>
        <v>1.3593609512703477</v>
      </c>
      <c r="U4" s="372">
        <f>(R4-O4)*$Q$32</f>
        <v>86.552673312911054</v>
      </c>
      <c r="V4" s="373">
        <f>(R4-O4)*(Q4-$Q$32)</f>
        <v>81.201779696365236</v>
      </c>
      <c r="W4" s="374">
        <f>R4*(T4-Q4)</f>
        <v>0</v>
      </c>
      <c r="X4" s="341">
        <f>S4-P4-SUM(U4:W4)</f>
        <v>0</v>
      </c>
    </row>
    <row r="5" spans="2:24">
      <c r="B5" s="75" t="s">
        <v>59</v>
      </c>
      <c r="C5" s="345">
        <f>'Info Pasajeros e Ingresos P20'!S6</f>
        <v>2170.8829999999998</v>
      </c>
      <c r="D5" s="111"/>
      <c r="E5" s="347">
        <f t="shared" ref="E5:E32" si="2">IFERROR(D5/C5,0)</f>
        <v>0</v>
      </c>
      <c r="F5" s="345">
        <f>'Info Pasajeros e Ingresos P20'!AY6</f>
        <v>108.41679999999999</v>
      </c>
      <c r="G5" s="346">
        <f>'Info Pasajeros e Ingresos P20'!AY86</f>
        <v>70.77643232327874</v>
      </c>
      <c r="H5" s="367">
        <f t="shared" si="0"/>
        <v>0.65281794263692294</v>
      </c>
      <c r="I5" s="345">
        <f t="shared" ref="I5:I31" si="3">(F5-C5)*$Q$32</f>
        <v>-1446.532046053537</v>
      </c>
      <c r="J5" s="346">
        <f t="shared" ref="J5:J31" si="4">(F5-C5)*(E5-$Q$32)</f>
        <v>1446.532046053537</v>
      </c>
      <c r="K5" s="347">
        <f t="shared" ref="K5:K29" si="5">F5*(H5-E5)</f>
        <v>70.77643232327874</v>
      </c>
      <c r="L5" s="341">
        <f t="shared" ref="L5:L32" si="6">G5-D5-SUM(I5:K5)</f>
        <v>0</v>
      </c>
      <c r="N5" s="75" t="s">
        <v>59</v>
      </c>
      <c r="O5" s="345">
        <f>'Info Pasajeros e Ingresos P20'!AY6</f>
        <v>108.41679999999999</v>
      </c>
      <c r="P5" s="346">
        <f>'Info Pasajeros e Ingresos P20'!AY86</f>
        <v>70.77643232327874</v>
      </c>
      <c r="Q5" s="367">
        <f t="shared" ref="Q5:Q33" si="7">IFERROR(P5/O5,0)</f>
        <v>0.65281794263692294</v>
      </c>
      <c r="R5" s="345">
        <f>'Info Pasajeros e Ingresos P20'!BK6</f>
        <v>108.41679999999999</v>
      </c>
      <c r="S5" s="346">
        <f>'Info Pasajeros e Ingresos P20'!BK86</f>
        <v>70.77643232327874</v>
      </c>
      <c r="T5" s="367">
        <f t="shared" si="1"/>
        <v>0.65281794263692294</v>
      </c>
      <c r="U5" s="345">
        <f t="shared" ref="U5:U31" si="8">(R5-O5)*$Q$32</f>
        <v>0</v>
      </c>
      <c r="V5" s="346">
        <f t="shared" ref="V5:V31" si="9">(R5-O5)*(Q5-$Q$32)</f>
        <v>0</v>
      </c>
      <c r="W5" s="347">
        <f t="shared" ref="W5:W29" si="10">R5*(T5-Q5)</f>
        <v>0</v>
      </c>
      <c r="X5" s="341">
        <f t="shared" ref="X5:X32" si="11">S5-P5-SUM(U5:W5)</f>
        <v>0</v>
      </c>
    </row>
    <row r="6" spans="2:24">
      <c r="B6" s="75" t="s">
        <v>60</v>
      </c>
      <c r="C6" s="345">
        <f>'Info Pasajeros e Ingresos P20'!S7</f>
        <v>6.02</v>
      </c>
      <c r="D6" s="111"/>
      <c r="E6" s="347">
        <f t="shared" si="2"/>
        <v>0</v>
      </c>
      <c r="F6" s="345">
        <f>'Info Pasajeros e Ingresos P20'!AY7</f>
        <v>0.58339999999999992</v>
      </c>
      <c r="G6" s="346">
        <f>'Info Pasajeros e Ingresos P20'!AY87</f>
        <v>0</v>
      </c>
      <c r="H6" s="367">
        <f t="shared" si="0"/>
        <v>0</v>
      </c>
      <c r="I6" s="345">
        <f t="shared" si="3"/>
        <v>-3.8130157583065647</v>
      </c>
      <c r="J6" s="346">
        <f t="shared" si="4"/>
        <v>3.8130157583065647</v>
      </c>
      <c r="K6" s="347">
        <f t="shared" si="5"/>
        <v>0</v>
      </c>
      <c r="L6" s="341">
        <f t="shared" si="6"/>
        <v>0</v>
      </c>
      <c r="N6" s="75" t="s">
        <v>60</v>
      </c>
      <c r="O6" s="345">
        <f>'Info Pasajeros e Ingresos P20'!AY7</f>
        <v>0.58339999999999992</v>
      </c>
      <c r="P6" s="346">
        <f>'Info Pasajeros e Ingresos P20'!AY87</f>
        <v>0</v>
      </c>
      <c r="Q6" s="367">
        <f t="shared" si="7"/>
        <v>0</v>
      </c>
      <c r="R6" s="345">
        <f>'Info Pasajeros e Ingresos P20'!BK7</f>
        <v>0.58339999999999992</v>
      </c>
      <c r="S6" s="346">
        <f>'Info Pasajeros e Ingresos P20'!BK87</f>
        <v>0</v>
      </c>
      <c r="T6" s="367">
        <f t="shared" si="1"/>
        <v>0</v>
      </c>
      <c r="U6" s="345">
        <f t="shared" si="8"/>
        <v>0</v>
      </c>
      <c r="V6" s="346">
        <f t="shared" si="9"/>
        <v>0</v>
      </c>
      <c r="W6" s="347">
        <f t="shared" si="10"/>
        <v>0</v>
      </c>
      <c r="X6" s="341">
        <f t="shared" si="11"/>
        <v>0</v>
      </c>
    </row>
    <row r="7" spans="2:24">
      <c r="B7" s="81" t="s">
        <v>61</v>
      </c>
      <c r="C7" s="348">
        <f>'Info Pasajeros e Ingresos P20'!S8</f>
        <v>1863.5319999999999</v>
      </c>
      <c r="D7" s="376"/>
      <c r="E7" s="350">
        <f t="shared" si="2"/>
        <v>0</v>
      </c>
      <c r="F7" s="348">
        <f>'Info Pasajeros e Ingresos P20'!AY8</f>
        <v>1578.7963999999997</v>
      </c>
      <c r="G7" s="349">
        <f>'Info Pasajeros e Ingresos P20'!AY88</f>
        <v>539.76582573616429</v>
      </c>
      <c r="H7" s="368">
        <f t="shared" si="0"/>
        <v>0.34188437833793162</v>
      </c>
      <c r="I7" s="348">
        <f t="shared" si="3"/>
        <v>-199.70226423700024</v>
      </c>
      <c r="J7" s="349">
        <f t="shared" si="4"/>
        <v>199.70226423700024</v>
      </c>
      <c r="K7" s="350">
        <f t="shared" si="5"/>
        <v>539.76582573616429</v>
      </c>
      <c r="L7" s="341">
        <f t="shared" si="6"/>
        <v>0</v>
      </c>
      <c r="N7" s="81" t="s">
        <v>61</v>
      </c>
      <c r="O7" s="348">
        <f>'Info Pasajeros e Ingresos P20'!AY8</f>
        <v>1578.7963999999997</v>
      </c>
      <c r="P7" s="349">
        <f>'Info Pasajeros e Ingresos P20'!AY88</f>
        <v>539.76582573616429</v>
      </c>
      <c r="Q7" s="368">
        <f t="shared" si="7"/>
        <v>0.34188437833793162</v>
      </c>
      <c r="R7" s="348">
        <f>'Info Pasajeros e Ingresos P20'!BK8</f>
        <v>1618.2663099999995</v>
      </c>
      <c r="S7" s="349">
        <f>'Info Pasajeros e Ingresos P20'!BK88</f>
        <v>553.25997137956836</v>
      </c>
      <c r="T7" s="368">
        <f t="shared" si="1"/>
        <v>0.34188437833793162</v>
      </c>
      <c r="U7" s="348">
        <f t="shared" si="8"/>
        <v>27.682630469216257</v>
      </c>
      <c r="V7" s="349">
        <f t="shared" si="9"/>
        <v>-14.188484825812216</v>
      </c>
      <c r="W7" s="350">
        <f t="shared" si="10"/>
        <v>0</v>
      </c>
      <c r="X7" s="341">
        <f t="shared" si="11"/>
        <v>2.6645352591003757E-14</v>
      </c>
    </row>
    <row r="8" spans="2:24">
      <c r="B8" s="75" t="s">
        <v>62</v>
      </c>
      <c r="C8" s="345">
        <f>'Info Pasajeros e Ingresos P20'!S9</f>
        <v>1264.4939999999999</v>
      </c>
      <c r="D8" s="111"/>
      <c r="E8" s="347">
        <f t="shared" si="2"/>
        <v>0</v>
      </c>
      <c r="F8" s="345">
        <f>'Info Pasajeros e Ingresos P20'!AY9</f>
        <v>249.25200000000001</v>
      </c>
      <c r="G8" s="346">
        <f>'Info Pasajeros e Ingresos P20'!AY89</f>
        <v>172.7283604804712</v>
      </c>
      <c r="H8" s="367">
        <f t="shared" si="0"/>
        <v>0.69298685860282438</v>
      </c>
      <c r="I8" s="345">
        <f t="shared" si="3"/>
        <v>-712.05049930005396</v>
      </c>
      <c r="J8" s="346">
        <f t="shared" si="4"/>
        <v>712.05049930005396</v>
      </c>
      <c r="K8" s="347">
        <f t="shared" si="5"/>
        <v>172.7283604804712</v>
      </c>
      <c r="L8" s="341">
        <f t="shared" si="6"/>
        <v>0</v>
      </c>
      <c r="N8" s="75" t="s">
        <v>62</v>
      </c>
      <c r="O8" s="345">
        <f>'Info Pasajeros e Ingresos P20'!AY9</f>
        <v>249.25200000000001</v>
      </c>
      <c r="P8" s="346">
        <f>'Info Pasajeros e Ingresos P20'!AY89</f>
        <v>172.7283604804712</v>
      </c>
      <c r="Q8" s="367">
        <f t="shared" si="7"/>
        <v>0.69298685860282438</v>
      </c>
      <c r="R8" s="345">
        <f>'Info Pasajeros e Ingresos P20'!BK9</f>
        <v>0</v>
      </c>
      <c r="S8" s="346">
        <f>'Info Pasajeros e Ingresos P20'!BK89</f>
        <v>0</v>
      </c>
      <c r="T8" s="367">
        <f t="shared" si="1"/>
        <v>0</v>
      </c>
      <c r="U8" s="345">
        <f t="shared" si="8"/>
        <v>-174.81547360288195</v>
      </c>
      <c r="V8" s="346">
        <f t="shared" si="9"/>
        <v>2.0871131224107513</v>
      </c>
      <c r="W8" s="347">
        <f t="shared" si="10"/>
        <v>0</v>
      </c>
      <c r="X8" s="341">
        <f t="shared" si="11"/>
        <v>0</v>
      </c>
    </row>
    <row r="9" spans="2:24">
      <c r="B9" s="75" t="s">
        <v>63</v>
      </c>
      <c r="C9" s="345">
        <f>'Info Pasajeros e Ingresos P20'!S10</f>
        <v>1684.248</v>
      </c>
      <c r="D9" s="111"/>
      <c r="E9" s="347">
        <f t="shared" si="2"/>
        <v>0</v>
      </c>
      <c r="F9" s="345">
        <f>'Info Pasajeros e Ingresos P20'!AY10</f>
        <v>1716.2072000000003</v>
      </c>
      <c r="G9" s="346">
        <f>'Info Pasajeros e Ingresos P20'!AY90</f>
        <v>0</v>
      </c>
      <c r="H9" s="367">
        <f t="shared" si="0"/>
        <v>0</v>
      </c>
      <c r="I9" s="345">
        <f t="shared" si="3"/>
        <v>22.414916165042872</v>
      </c>
      <c r="J9" s="346">
        <f t="shared" si="4"/>
        <v>-22.414916165042872</v>
      </c>
      <c r="K9" s="347">
        <f t="shared" si="5"/>
        <v>0</v>
      </c>
      <c r="L9" s="341">
        <f t="shared" si="6"/>
        <v>0</v>
      </c>
      <c r="N9" s="75" t="s">
        <v>63</v>
      </c>
      <c r="O9" s="345">
        <f>'Info Pasajeros e Ingresos P20'!AY10</f>
        <v>1716.2072000000003</v>
      </c>
      <c r="P9" s="346">
        <f>'Info Pasajeros e Ingresos P20'!AY90</f>
        <v>0</v>
      </c>
      <c r="Q9" s="367">
        <f t="shared" si="7"/>
        <v>0</v>
      </c>
      <c r="R9" s="345">
        <f>'Info Pasajeros e Ingresos P20'!BK10</f>
        <v>1759.11238</v>
      </c>
      <c r="S9" s="346">
        <f>'Info Pasajeros e Ingresos P20'!BK90</f>
        <v>0</v>
      </c>
      <c r="T9" s="367">
        <f t="shared" si="1"/>
        <v>0</v>
      </c>
      <c r="U9" s="345">
        <f t="shared" si="8"/>
        <v>30.091992688992882</v>
      </c>
      <c r="V9" s="346">
        <f t="shared" si="9"/>
        <v>-30.091992688992882</v>
      </c>
      <c r="W9" s="347">
        <f t="shared" si="10"/>
        <v>0</v>
      </c>
      <c r="X9" s="341">
        <f t="shared" si="11"/>
        <v>0</v>
      </c>
    </row>
    <row r="10" spans="2:24">
      <c r="B10" s="75" t="s">
        <v>64</v>
      </c>
      <c r="C10" s="345">
        <f>'Info Pasajeros e Ingresos P20'!S11</f>
        <v>502.21199999999999</v>
      </c>
      <c r="D10" s="111"/>
      <c r="E10" s="347">
        <f t="shared" si="2"/>
        <v>0</v>
      </c>
      <c r="F10" s="345">
        <f>'Info Pasajeros e Ingresos P20'!AY11</f>
        <v>152.12800000000001</v>
      </c>
      <c r="G10" s="346">
        <f>'Info Pasajeros e Ingresos P20'!AY91</f>
        <v>223.08404675418885</v>
      </c>
      <c r="H10" s="367">
        <f t="shared" si="0"/>
        <v>1.466423319534792</v>
      </c>
      <c r="I10" s="345">
        <f t="shared" si="3"/>
        <v>-245.53504188849561</v>
      </c>
      <c r="J10" s="346">
        <f t="shared" si="4"/>
        <v>245.53504188849561</v>
      </c>
      <c r="K10" s="347">
        <f t="shared" si="5"/>
        <v>223.08404675418885</v>
      </c>
      <c r="L10" s="341">
        <f t="shared" si="6"/>
        <v>0</v>
      </c>
      <c r="N10" s="75" t="s">
        <v>64</v>
      </c>
      <c r="O10" s="345">
        <f>'Info Pasajeros e Ingresos P20'!AY11</f>
        <v>152.12800000000001</v>
      </c>
      <c r="P10" s="346">
        <f>'Info Pasajeros e Ingresos P20'!AY91</f>
        <v>223.08404675418885</v>
      </c>
      <c r="Q10" s="367">
        <f t="shared" si="7"/>
        <v>1.466423319534792</v>
      </c>
      <c r="R10" s="345">
        <f>'Info Pasajeros e Ingresos P20'!BK11</f>
        <v>152.12800000000001</v>
      </c>
      <c r="S10" s="346">
        <f>'Info Pasajeros e Ingresos P20'!BK91</f>
        <v>223.08404675418885</v>
      </c>
      <c r="T10" s="367">
        <f t="shared" si="1"/>
        <v>1.466423319534792</v>
      </c>
      <c r="U10" s="345">
        <f t="shared" si="8"/>
        <v>0</v>
      </c>
      <c r="V10" s="346">
        <f t="shared" si="9"/>
        <v>0</v>
      </c>
      <c r="W10" s="347">
        <f t="shared" si="10"/>
        <v>0</v>
      </c>
      <c r="X10" s="341">
        <f t="shared" si="11"/>
        <v>0</v>
      </c>
    </row>
    <row r="11" spans="2:24">
      <c r="B11" s="75" t="s">
        <v>65</v>
      </c>
      <c r="C11" s="345">
        <f>'Info Pasajeros e Ingresos P20'!S12</f>
        <v>15750.789000000001</v>
      </c>
      <c r="D11" s="111"/>
      <c r="E11" s="347">
        <f t="shared" si="2"/>
        <v>0</v>
      </c>
      <c r="F11" s="345">
        <f>'Info Pasajeros e Ingresos P20'!AY12</f>
        <v>13977.852000000003</v>
      </c>
      <c r="G11" s="346">
        <f>'Info Pasajeros e Ingresos P20'!AY92</f>
        <v>11517.881823953885</v>
      </c>
      <c r="H11" s="367">
        <f t="shared" si="0"/>
        <v>0.82400942748241168</v>
      </c>
      <c r="I11" s="345">
        <f t="shared" si="3"/>
        <v>-1243.4677407726813</v>
      </c>
      <c r="J11" s="346">
        <f t="shared" si="4"/>
        <v>1243.4677407726813</v>
      </c>
      <c r="K11" s="347">
        <f t="shared" si="5"/>
        <v>11517.881823953885</v>
      </c>
      <c r="L11" s="341">
        <f t="shared" si="6"/>
        <v>0</v>
      </c>
      <c r="N11" s="75" t="s">
        <v>65</v>
      </c>
      <c r="O11" s="345">
        <f>'Info Pasajeros e Ingresos P20'!AY12</f>
        <v>13977.852000000003</v>
      </c>
      <c r="P11" s="346">
        <f>'Info Pasajeros e Ingresos P20'!AY92</f>
        <v>11517.881823953885</v>
      </c>
      <c r="Q11" s="367">
        <f t="shared" si="7"/>
        <v>0.82400942748241168</v>
      </c>
      <c r="R11" s="345">
        <f>'Info Pasajeros e Ingresos P20'!BK12</f>
        <v>13917.418481038761</v>
      </c>
      <c r="S11" s="346">
        <f>'Info Pasajeros e Ingresos P20'!BK92</f>
        <v>11468.084034593885</v>
      </c>
      <c r="T11" s="367">
        <f t="shared" si="1"/>
        <v>0.82400942748241168</v>
      </c>
      <c r="U11" s="345">
        <f t="shared" si="8"/>
        <v>-42.385674894075528</v>
      </c>
      <c r="V11" s="346">
        <f t="shared" si="9"/>
        <v>-7.4121144659242466</v>
      </c>
      <c r="W11" s="347">
        <f t="shared" si="10"/>
        <v>0</v>
      </c>
      <c r="X11" s="341">
        <f t="shared" si="11"/>
        <v>-2.4868995751603507E-13</v>
      </c>
    </row>
    <row r="12" spans="2:24">
      <c r="B12" s="75" t="s">
        <v>66</v>
      </c>
      <c r="C12" s="345">
        <f>'Info Pasajeros e Ingresos P20'!S13</f>
        <v>93.789000000000001</v>
      </c>
      <c r="D12" s="111"/>
      <c r="E12" s="347">
        <f t="shared" si="2"/>
        <v>0</v>
      </c>
      <c r="F12" s="345">
        <f>'Info Pasajeros e Ingresos P20'!AY13</f>
        <v>100.61319999999998</v>
      </c>
      <c r="G12" s="346">
        <f>'Info Pasajeros e Ingresos P20'!AY93</f>
        <v>0</v>
      </c>
      <c r="H12" s="367">
        <f t="shared" si="0"/>
        <v>0</v>
      </c>
      <c r="I12" s="345">
        <f t="shared" si="3"/>
        <v>4.7862234002566995</v>
      </c>
      <c r="J12" s="346">
        <f t="shared" si="4"/>
        <v>-4.7862234002566995</v>
      </c>
      <c r="K12" s="347">
        <f t="shared" si="5"/>
        <v>0</v>
      </c>
      <c r="L12" s="341">
        <f t="shared" si="6"/>
        <v>0</v>
      </c>
      <c r="N12" s="75" t="s">
        <v>66</v>
      </c>
      <c r="O12" s="345">
        <f>'Info Pasajeros e Ingresos P20'!AY13</f>
        <v>100.61319999999998</v>
      </c>
      <c r="P12" s="346">
        <f>'Info Pasajeros e Ingresos P20'!AY93</f>
        <v>0</v>
      </c>
      <c r="Q12" s="367">
        <f t="shared" si="7"/>
        <v>0</v>
      </c>
      <c r="R12" s="345">
        <f>'Info Pasajeros e Ingresos P20'!BK13</f>
        <v>100.61319999999998</v>
      </c>
      <c r="S12" s="346">
        <f>'Info Pasajeros e Ingresos P20'!BK93</f>
        <v>0</v>
      </c>
      <c r="T12" s="367">
        <f t="shared" si="1"/>
        <v>0</v>
      </c>
      <c r="U12" s="345">
        <f t="shared" si="8"/>
        <v>0</v>
      </c>
      <c r="V12" s="346">
        <f t="shared" si="9"/>
        <v>0</v>
      </c>
      <c r="W12" s="347">
        <f t="shared" si="10"/>
        <v>0</v>
      </c>
      <c r="X12" s="341">
        <f t="shared" si="11"/>
        <v>0</v>
      </c>
    </row>
    <row r="13" spans="2:24">
      <c r="B13" s="75" t="s">
        <v>67</v>
      </c>
      <c r="C13" s="345">
        <f>'Info Pasajeros e Ingresos P20'!S14</f>
        <v>303.64600000000002</v>
      </c>
      <c r="D13" s="111"/>
      <c r="E13" s="347">
        <f t="shared" si="2"/>
        <v>0</v>
      </c>
      <c r="F13" s="345">
        <f>'Info Pasajeros e Ingresos P20'!AY14</f>
        <v>292.56600000000003</v>
      </c>
      <c r="G13" s="346">
        <f>'Info Pasajeros e Ingresos P20'!AY94</f>
        <v>0</v>
      </c>
      <c r="H13" s="367">
        <f t="shared" si="0"/>
        <v>0</v>
      </c>
      <c r="I13" s="345">
        <f t="shared" si="3"/>
        <v>-7.7710728400170472</v>
      </c>
      <c r="J13" s="346">
        <f t="shared" si="4"/>
        <v>7.7710728400170472</v>
      </c>
      <c r="K13" s="347">
        <f t="shared" si="5"/>
        <v>0</v>
      </c>
      <c r="L13" s="341">
        <f t="shared" si="6"/>
        <v>0</v>
      </c>
      <c r="N13" s="75" t="s">
        <v>67</v>
      </c>
      <c r="O13" s="345">
        <f>'Info Pasajeros e Ingresos P20'!AY14</f>
        <v>292.56600000000003</v>
      </c>
      <c r="P13" s="346">
        <f>'Info Pasajeros e Ingresos P20'!AY94</f>
        <v>0</v>
      </c>
      <c r="Q13" s="367">
        <f t="shared" si="7"/>
        <v>0</v>
      </c>
      <c r="R13" s="345">
        <f>'Info Pasajeros e Ingresos P20'!BK14</f>
        <v>292.56600000000003</v>
      </c>
      <c r="S13" s="346">
        <f>'Info Pasajeros e Ingresos P20'!BK94</f>
        <v>0</v>
      </c>
      <c r="T13" s="367">
        <f t="shared" si="1"/>
        <v>0</v>
      </c>
      <c r="U13" s="345">
        <f t="shared" si="8"/>
        <v>0</v>
      </c>
      <c r="V13" s="346">
        <f t="shared" si="9"/>
        <v>0</v>
      </c>
      <c r="W13" s="347">
        <f t="shared" si="10"/>
        <v>0</v>
      </c>
      <c r="X13" s="341">
        <f t="shared" si="11"/>
        <v>0</v>
      </c>
    </row>
    <row r="14" spans="2:24">
      <c r="B14" s="75" t="s">
        <v>68</v>
      </c>
      <c r="C14" s="345">
        <f>'Info Pasajeros e Ingresos P20'!S15</f>
        <v>167.68700000000001</v>
      </c>
      <c r="D14" s="111"/>
      <c r="E14" s="347">
        <f t="shared" si="2"/>
        <v>0</v>
      </c>
      <c r="F14" s="345">
        <f>'Info Pasajeros e Ingresos P20'!AY15</f>
        <v>159.05700000000002</v>
      </c>
      <c r="G14" s="346">
        <f>'Info Pasajeros e Ingresos P20'!AY95</f>
        <v>44.146324480642697</v>
      </c>
      <c r="H14" s="367">
        <f t="shared" si="0"/>
        <v>0.27755034032229131</v>
      </c>
      <c r="I14" s="345">
        <f t="shared" si="3"/>
        <v>-6.0527399466919833</v>
      </c>
      <c r="J14" s="346">
        <f t="shared" si="4"/>
        <v>6.0527399466919833</v>
      </c>
      <c r="K14" s="347">
        <f t="shared" si="5"/>
        <v>44.146324480642697</v>
      </c>
      <c r="L14" s="341">
        <f t="shared" si="6"/>
        <v>0</v>
      </c>
      <c r="N14" s="75" t="s">
        <v>68</v>
      </c>
      <c r="O14" s="345">
        <f>'Info Pasajeros e Ingresos P20'!AY15</f>
        <v>159.05700000000002</v>
      </c>
      <c r="P14" s="346">
        <f>'Info Pasajeros e Ingresos P20'!AY95</f>
        <v>44.146324480642697</v>
      </c>
      <c r="Q14" s="367">
        <f t="shared" si="7"/>
        <v>0.27755034032229131</v>
      </c>
      <c r="R14" s="345">
        <f>'Info Pasajeros e Ingresos P20'!BK15</f>
        <v>163.03342499999999</v>
      </c>
      <c r="S14" s="346">
        <f>'Info Pasajeros e Ingresos P20'!BK95</f>
        <v>45.249982592658753</v>
      </c>
      <c r="T14" s="367">
        <f t="shared" si="1"/>
        <v>0.27755034032229131</v>
      </c>
      <c r="U14" s="345">
        <f t="shared" si="8"/>
        <v>2.7889068878939223</v>
      </c>
      <c r="V14" s="346">
        <f t="shared" si="9"/>
        <v>-1.6852487758778611</v>
      </c>
      <c r="W14" s="347">
        <f t="shared" si="10"/>
        <v>0</v>
      </c>
      <c r="X14" s="341">
        <f t="shared" si="11"/>
        <v>-4.8849813083506888E-15</v>
      </c>
    </row>
    <row r="15" spans="2:24">
      <c r="B15" s="75" t="s">
        <v>69</v>
      </c>
      <c r="C15" s="345">
        <f>'Info Pasajeros e Ingresos P20'!S16</f>
        <v>703.76700000000005</v>
      </c>
      <c r="D15" s="111"/>
      <c r="E15" s="347">
        <f t="shared" si="2"/>
        <v>0</v>
      </c>
      <c r="F15" s="345">
        <f>'Info Pasajeros e Ingresos P20'!AY16</f>
        <v>617.29140000000007</v>
      </c>
      <c r="G15" s="346">
        <f>'Info Pasajeros e Ingresos P20'!AY96</f>
        <v>205.15092238132931</v>
      </c>
      <c r="H15" s="367">
        <f t="shared" si="0"/>
        <v>0.33234048357279766</v>
      </c>
      <c r="I15" s="345">
        <f t="shared" si="3"/>
        <v>-60.650558346947562</v>
      </c>
      <c r="J15" s="346">
        <f t="shared" si="4"/>
        <v>60.650558346947562</v>
      </c>
      <c r="K15" s="347">
        <f t="shared" si="5"/>
        <v>205.15092238132928</v>
      </c>
      <c r="L15" s="341">
        <f t="shared" si="6"/>
        <v>0</v>
      </c>
      <c r="N15" s="75" t="s">
        <v>69</v>
      </c>
      <c r="O15" s="345">
        <f>'Info Pasajeros e Ingresos P20'!AY16</f>
        <v>617.29140000000007</v>
      </c>
      <c r="P15" s="346">
        <f>'Info Pasajeros e Ingresos P20'!AY96</f>
        <v>205.15092238132931</v>
      </c>
      <c r="Q15" s="367">
        <f t="shared" si="7"/>
        <v>0.33234048357279766</v>
      </c>
      <c r="R15" s="345">
        <f>'Info Pasajeros e Ingresos P20'!BK16</f>
        <v>632.72368500000005</v>
      </c>
      <c r="S15" s="346">
        <f>'Info Pasajeros e Ingresos P20'!BK96</f>
        <v>210.27969544086253</v>
      </c>
      <c r="T15" s="367">
        <f t="shared" si="1"/>
        <v>0.33234048357279766</v>
      </c>
      <c r="U15" s="345">
        <f t="shared" si="8"/>
        <v>10.823593034557986</v>
      </c>
      <c r="V15" s="346">
        <f t="shared" si="9"/>
        <v>-5.6948199750247612</v>
      </c>
      <c r="W15" s="347">
        <f t="shared" si="10"/>
        <v>0</v>
      </c>
      <c r="X15" s="341">
        <f t="shared" si="11"/>
        <v>-7.9936057773011271E-15</v>
      </c>
    </row>
    <row r="16" spans="2:24">
      <c r="B16" s="75" t="s">
        <v>70</v>
      </c>
      <c r="C16" s="345">
        <f>'Info Pasajeros e Ingresos P20'!S17</f>
        <v>26.349</v>
      </c>
      <c r="D16" s="111"/>
      <c r="E16" s="347">
        <f t="shared" si="2"/>
        <v>0</v>
      </c>
      <c r="F16" s="345">
        <f>'Info Pasajeros e Ingresos P20'!AY17</f>
        <v>24.211999999999996</v>
      </c>
      <c r="G16" s="346">
        <f>'Info Pasajeros e Ingresos P20'!AY97</f>
        <v>49.198888760498853</v>
      </c>
      <c r="H16" s="367">
        <f t="shared" si="0"/>
        <v>2.0320043268007129</v>
      </c>
      <c r="I16" s="345">
        <f t="shared" si="3"/>
        <v>-1.4988070991982387</v>
      </c>
      <c r="J16" s="346">
        <f t="shared" si="4"/>
        <v>1.4988070991982387</v>
      </c>
      <c r="K16" s="347">
        <f t="shared" si="5"/>
        <v>49.198888760498853</v>
      </c>
      <c r="L16" s="341">
        <f t="shared" si="6"/>
        <v>0</v>
      </c>
      <c r="N16" s="75" t="s">
        <v>70</v>
      </c>
      <c r="O16" s="345">
        <f>'Info Pasajeros e Ingresos P20'!AY17</f>
        <v>24.211999999999996</v>
      </c>
      <c r="P16" s="346">
        <f>'Info Pasajeros e Ingresos P20'!AY97</f>
        <v>49.198888760498853</v>
      </c>
      <c r="Q16" s="367">
        <f t="shared" si="7"/>
        <v>2.0320043268007129</v>
      </c>
      <c r="R16" s="345">
        <f>'Info Pasajeros e Ingresos P20'!BK17</f>
        <v>24.211999999999996</v>
      </c>
      <c r="S16" s="346">
        <f>'Info Pasajeros e Ingresos P20'!BK97</f>
        <v>49.198888760498853</v>
      </c>
      <c r="T16" s="367">
        <f t="shared" si="1"/>
        <v>2.0320043268007129</v>
      </c>
      <c r="U16" s="345">
        <f t="shared" si="8"/>
        <v>0</v>
      </c>
      <c r="V16" s="346">
        <f t="shared" si="9"/>
        <v>0</v>
      </c>
      <c r="W16" s="347">
        <f t="shared" si="10"/>
        <v>0</v>
      </c>
      <c r="X16" s="341">
        <f t="shared" si="11"/>
        <v>0</v>
      </c>
    </row>
    <row r="17" spans="2:24">
      <c r="B17" s="75" t="s">
        <v>71</v>
      </c>
      <c r="C17" s="345">
        <f>'Info Pasajeros e Ingresos P20'!S18</f>
        <v>13.750999999999999</v>
      </c>
      <c r="D17" s="111"/>
      <c r="E17" s="347">
        <f t="shared" si="2"/>
        <v>0</v>
      </c>
      <c r="F17" s="345">
        <f>'Info Pasajeros e Ingresos P20'!AY18</f>
        <v>13.317400000000003</v>
      </c>
      <c r="G17" s="346">
        <f>'Info Pasajeros e Ingresos P20'!AY98</f>
        <v>23.27312798901476</v>
      </c>
      <c r="H17" s="367">
        <f t="shared" si="0"/>
        <v>1.7475729488499825</v>
      </c>
      <c r="I17" s="345">
        <f t="shared" si="3"/>
        <v>-0.30410985410030422</v>
      </c>
      <c r="J17" s="346">
        <f t="shared" si="4"/>
        <v>0.30410985410030422</v>
      </c>
      <c r="K17" s="347">
        <f t="shared" si="5"/>
        <v>23.27312798901476</v>
      </c>
      <c r="L17" s="341">
        <f t="shared" si="6"/>
        <v>0</v>
      </c>
      <c r="N17" s="75" t="s">
        <v>71</v>
      </c>
      <c r="O17" s="345">
        <f>'Info Pasajeros e Ingresos P20'!AY18</f>
        <v>13.317400000000003</v>
      </c>
      <c r="P17" s="346">
        <f>'Info Pasajeros e Ingresos P20'!AY98</f>
        <v>23.27312798901476</v>
      </c>
      <c r="Q17" s="367">
        <f t="shared" si="7"/>
        <v>1.7475729488499825</v>
      </c>
      <c r="R17" s="345">
        <f>'Info Pasajeros e Ingresos P20'!BK18</f>
        <v>13.317400000000003</v>
      </c>
      <c r="S17" s="346">
        <f>'Info Pasajeros e Ingresos P20'!BK98</f>
        <v>23.27312798901476</v>
      </c>
      <c r="T17" s="367">
        <f t="shared" si="1"/>
        <v>1.7475729488499825</v>
      </c>
      <c r="U17" s="345">
        <f t="shared" si="8"/>
        <v>0</v>
      </c>
      <c r="V17" s="346">
        <f t="shared" si="9"/>
        <v>0</v>
      </c>
      <c r="W17" s="347">
        <f t="shared" si="10"/>
        <v>0</v>
      </c>
      <c r="X17" s="341">
        <f t="shared" si="11"/>
        <v>0</v>
      </c>
    </row>
    <row r="18" spans="2:24">
      <c r="B18" s="75" t="s">
        <v>72</v>
      </c>
      <c r="C18" s="345">
        <f>'Info Pasajeros e Ingresos P20'!S19</f>
        <v>131.732</v>
      </c>
      <c r="D18" s="111"/>
      <c r="E18" s="347">
        <f t="shared" si="2"/>
        <v>0</v>
      </c>
      <c r="F18" s="345">
        <f>'Info Pasajeros e Ingresos P20'!AY19</f>
        <v>80.490399999999994</v>
      </c>
      <c r="G18" s="346">
        <f>'Info Pasajeros e Ingresos P20'!AY99</f>
        <v>0</v>
      </c>
      <c r="H18" s="367">
        <f t="shared" si="0"/>
        <v>0</v>
      </c>
      <c r="I18" s="345">
        <f t="shared" si="3"/>
        <v>-35.938827259839179</v>
      </c>
      <c r="J18" s="346">
        <f t="shared" si="4"/>
        <v>35.938827259839179</v>
      </c>
      <c r="K18" s="347">
        <f t="shared" si="5"/>
        <v>0</v>
      </c>
      <c r="L18" s="341">
        <f t="shared" si="6"/>
        <v>0</v>
      </c>
      <c r="N18" s="75" t="s">
        <v>72</v>
      </c>
      <c r="O18" s="345">
        <f>'Info Pasajeros e Ingresos P20'!AY19</f>
        <v>80.490399999999994</v>
      </c>
      <c r="P18" s="346">
        <f>'Info Pasajeros e Ingresos P20'!AY99</f>
        <v>0</v>
      </c>
      <c r="Q18" s="367">
        <f t="shared" si="7"/>
        <v>0</v>
      </c>
      <c r="R18" s="345">
        <f>'Info Pasajeros e Ingresos P20'!BK19</f>
        <v>80.490399999999994</v>
      </c>
      <c r="S18" s="346">
        <f>'Info Pasajeros e Ingresos P20'!BK99</f>
        <v>0</v>
      </c>
      <c r="T18" s="367">
        <f t="shared" si="1"/>
        <v>0</v>
      </c>
      <c r="U18" s="345">
        <f t="shared" si="8"/>
        <v>0</v>
      </c>
      <c r="V18" s="346">
        <f t="shared" si="9"/>
        <v>0</v>
      </c>
      <c r="W18" s="347">
        <f t="shared" si="10"/>
        <v>0</v>
      </c>
      <c r="X18" s="341">
        <f t="shared" si="11"/>
        <v>0</v>
      </c>
    </row>
    <row r="19" spans="2:24">
      <c r="B19" s="75" t="s">
        <v>73</v>
      </c>
      <c r="C19" s="345">
        <f>'Info Pasajeros e Ingresos P20'!S20</f>
        <v>0</v>
      </c>
      <c r="D19" s="111"/>
      <c r="E19" s="347">
        <f t="shared" si="2"/>
        <v>0</v>
      </c>
      <c r="F19" s="345">
        <f>'Info Pasajeros e Ingresos P20'!AY20</f>
        <v>0.46820000000000006</v>
      </c>
      <c r="G19" s="346">
        <f>'Info Pasajeros e Ingresos P20'!AY100</f>
        <v>1.3261302492401217</v>
      </c>
      <c r="H19" s="367">
        <f t="shared" si="0"/>
        <v>2.8324012158054708</v>
      </c>
      <c r="I19" s="345">
        <f t="shared" si="3"/>
        <v>0.32837692271624436</v>
      </c>
      <c r="J19" s="346">
        <f t="shared" si="4"/>
        <v>-0.32837692271624436</v>
      </c>
      <c r="K19" s="347">
        <f t="shared" si="5"/>
        <v>1.3261302492401217</v>
      </c>
      <c r="L19" s="341">
        <f t="shared" si="6"/>
        <v>0</v>
      </c>
      <c r="N19" s="75" t="s">
        <v>73</v>
      </c>
      <c r="O19" s="345">
        <f>'Info Pasajeros e Ingresos P20'!AY20</f>
        <v>0.46820000000000006</v>
      </c>
      <c r="P19" s="346">
        <f>'Info Pasajeros e Ingresos P20'!AY100</f>
        <v>1.3261302492401217</v>
      </c>
      <c r="Q19" s="367">
        <f t="shared" si="7"/>
        <v>2.8324012158054708</v>
      </c>
      <c r="R19" s="345">
        <f>'Info Pasajeros e Ingresos P20'!BK20</f>
        <v>0.46820000000000006</v>
      </c>
      <c r="S19" s="346">
        <f>'Info Pasajeros e Ingresos P20'!BK100</f>
        <v>1.3261302492401217</v>
      </c>
      <c r="T19" s="367">
        <f t="shared" si="1"/>
        <v>2.8324012158054708</v>
      </c>
      <c r="U19" s="345">
        <f t="shared" si="8"/>
        <v>0</v>
      </c>
      <c r="V19" s="346">
        <f t="shared" si="9"/>
        <v>0</v>
      </c>
      <c r="W19" s="347">
        <f t="shared" si="10"/>
        <v>0</v>
      </c>
      <c r="X19" s="341">
        <f t="shared" si="11"/>
        <v>0</v>
      </c>
    </row>
    <row r="20" spans="2:24">
      <c r="B20" s="75" t="s">
        <v>74</v>
      </c>
      <c r="C20" s="345">
        <f>'Info Pasajeros e Ingresos P20'!S21</f>
        <v>0</v>
      </c>
      <c r="D20" s="111"/>
      <c r="E20" s="347">
        <f t="shared" si="2"/>
        <v>0</v>
      </c>
      <c r="F20" s="345">
        <f>'Info Pasajeros e Ingresos P20'!AY21</f>
        <v>1.3748</v>
      </c>
      <c r="G20" s="346">
        <f>'Info Pasajeros e Ingresos P20'!AY101</f>
        <v>2.5656221876430205</v>
      </c>
      <c r="H20" s="367">
        <f t="shared" si="0"/>
        <v>1.8661784897025171</v>
      </c>
      <c r="I20" s="345">
        <f t="shared" si="3"/>
        <v>0.96423022928298308</v>
      </c>
      <c r="J20" s="346">
        <f t="shared" si="4"/>
        <v>-0.96423022928298308</v>
      </c>
      <c r="K20" s="347">
        <f t="shared" si="5"/>
        <v>2.5656221876430205</v>
      </c>
      <c r="L20" s="341">
        <f t="shared" si="6"/>
        <v>0</v>
      </c>
      <c r="N20" s="75" t="s">
        <v>74</v>
      </c>
      <c r="O20" s="345">
        <f>'Info Pasajeros e Ingresos P20'!AY21</f>
        <v>1.3748</v>
      </c>
      <c r="P20" s="346">
        <f>'Info Pasajeros e Ingresos P20'!AY101</f>
        <v>2.5656221876430205</v>
      </c>
      <c r="Q20" s="367">
        <f t="shared" si="7"/>
        <v>1.8661784897025171</v>
      </c>
      <c r="R20" s="345">
        <f>'Info Pasajeros e Ingresos P20'!BK21</f>
        <v>1.3748</v>
      </c>
      <c r="S20" s="346">
        <f>'Info Pasajeros e Ingresos P20'!BK101</f>
        <v>2.5656221876430205</v>
      </c>
      <c r="T20" s="367">
        <f t="shared" si="1"/>
        <v>1.8661784897025171</v>
      </c>
      <c r="U20" s="345">
        <f t="shared" si="8"/>
        <v>0</v>
      </c>
      <c r="V20" s="346">
        <f t="shared" si="9"/>
        <v>0</v>
      </c>
      <c r="W20" s="347">
        <f t="shared" si="10"/>
        <v>0</v>
      </c>
      <c r="X20" s="341">
        <f t="shared" si="11"/>
        <v>0</v>
      </c>
    </row>
    <row r="21" spans="2:24">
      <c r="B21" s="75" t="s">
        <v>75</v>
      </c>
      <c r="C21" s="345">
        <f>'Info Pasajeros e Ingresos P20'!S22</f>
        <v>0</v>
      </c>
      <c r="D21" s="111"/>
      <c r="E21" s="347">
        <f t="shared" si="2"/>
        <v>0</v>
      </c>
      <c r="F21" s="345">
        <f>'Info Pasajeros e Ingresos P20'!AY22</f>
        <v>18.655000000000001</v>
      </c>
      <c r="G21" s="346">
        <f>'Info Pasajeros e Ingresos P20'!AY102</f>
        <v>8.3292342702956343</v>
      </c>
      <c r="H21" s="367">
        <f t="shared" si="0"/>
        <v>0.4464880337869544</v>
      </c>
      <c r="I21" s="345">
        <f t="shared" si="3"/>
        <v>13.083877602032331</v>
      </c>
      <c r="J21" s="346">
        <f t="shared" si="4"/>
        <v>-13.083877602032331</v>
      </c>
      <c r="K21" s="347">
        <f t="shared" si="5"/>
        <v>8.3292342702956343</v>
      </c>
      <c r="L21" s="341">
        <f t="shared" si="6"/>
        <v>0</v>
      </c>
      <c r="N21" s="75" t="s">
        <v>75</v>
      </c>
      <c r="O21" s="345">
        <f>'Info Pasajeros e Ingresos P20'!AY22</f>
        <v>18.655000000000001</v>
      </c>
      <c r="P21" s="346">
        <f>'Info Pasajeros e Ingresos P20'!AY102</f>
        <v>8.3292342702956343</v>
      </c>
      <c r="Q21" s="367">
        <f t="shared" si="7"/>
        <v>0.4464880337869544</v>
      </c>
      <c r="R21" s="345">
        <f>'Info Pasajeros e Ingresos P20'!BK22</f>
        <v>19.121375</v>
      </c>
      <c r="S21" s="346">
        <f>'Info Pasajeros e Ingresos P20'!BK102</f>
        <v>8.5374651270530251</v>
      </c>
      <c r="T21" s="367">
        <f t="shared" si="1"/>
        <v>0.4464880337869544</v>
      </c>
      <c r="U21" s="345">
        <f t="shared" si="8"/>
        <v>0.32709694005080781</v>
      </c>
      <c r="V21" s="346">
        <f t="shared" si="9"/>
        <v>-0.11886608329341723</v>
      </c>
      <c r="W21" s="347">
        <f t="shared" si="10"/>
        <v>0</v>
      </c>
      <c r="X21" s="341">
        <f t="shared" si="11"/>
        <v>0</v>
      </c>
    </row>
    <row r="22" spans="2:24">
      <c r="B22" s="75" t="s">
        <v>76</v>
      </c>
      <c r="C22" s="345">
        <f>'Info Pasajeros e Ingresos P20'!S23</f>
        <v>1088.3579999999999</v>
      </c>
      <c r="D22" s="111"/>
      <c r="E22" s="347">
        <f t="shared" si="2"/>
        <v>0</v>
      </c>
      <c r="F22" s="345">
        <f>'Info Pasajeros e Ingresos P20'!AY23</f>
        <v>5273.3459999999995</v>
      </c>
      <c r="G22" s="346">
        <f>'Info Pasajeros e Ingresos P20'!AY103</f>
        <v>2399.7772357625408</v>
      </c>
      <c r="H22" s="367">
        <f t="shared" si="0"/>
        <v>0.45507676449877194</v>
      </c>
      <c r="I22" s="345">
        <f t="shared" si="3"/>
        <v>2935.1847096206952</v>
      </c>
      <c r="J22" s="346">
        <f t="shared" si="4"/>
        <v>-2935.1847096206952</v>
      </c>
      <c r="K22" s="347">
        <f t="shared" si="5"/>
        <v>2399.7772357625408</v>
      </c>
      <c r="L22" s="341">
        <f t="shared" si="6"/>
        <v>0</v>
      </c>
      <c r="N22" s="75" t="s">
        <v>76</v>
      </c>
      <c r="O22" s="345">
        <f>'Info Pasajeros e Ingresos P20'!AY23</f>
        <v>5273.3459999999995</v>
      </c>
      <c r="P22" s="346">
        <f>'Info Pasajeros e Ingresos P20'!AY103</f>
        <v>2399.7772357625408</v>
      </c>
      <c r="Q22" s="367">
        <f t="shared" si="7"/>
        <v>0.45507676449877194</v>
      </c>
      <c r="R22" s="345">
        <f>'Info Pasajeros e Ingresos P20'!BK23</f>
        <v>5537.0132999999996</v>
      </c>
      <c r="S22" s="346">
        <f>'Info Pasajeros e Ingresos P20'!BK103</f>
        <v>2519.7660975506678</v>
      </c>
      <c r="T22" s="367">
        <f t="shared" si="1"/>
        <v>0.45507676449877194</v>
      </c>
      <c r="U22" s="345">
        <f t="shared" si="8"/>
        <v>184.92579366702438</v>
      </c>
      <c r="V22" s="346">
        <f t="shared" si="9"/>
        <v>-64.936931878897312</v>
      </c>
      <c r="W22" s="347">
        <f t="shared" si="10"/>
        <v>0</v>
      </c>
      <c r="X22" s="341">
        <f t="shared" si="11"/>
        <v>0</v>
      </c>
    </row>
    <row r="23" spans="2:24">
      <c r="B23" s="75" t="s">
        <v>77</v>
      </c>
      <c r="C23" s="345">
        <f>'Info Pasajeros e Ingresos P20'!S24</f>
        <v>140.9</v>
      </c>
      <c r="D23" s="111"/>
      <c r="E23" s="347">
        <f t="shared" si="2"/>
        <v>0</v>
      </c>
      <c r="F23" s="345">
        <f>'Info Pasajeros e Ingresos P20'!AY24</f>
        <v>5187.6826666666657</v>
      </c>
      <c r="G23" s="346">
        <f>'Info Pasajeros e Ingresos P20'!AY104</f>
        <v>2347.3997268626244</v>
      </c>
      <c r="H23" s="367">
        <f t="shared" si="0"/>
        <v>0.45249485708634163</v>
      </c>
      <c r="I23" s="345">
        <f t="shared" si="3"/>
        <v>3539.6133312637357</v>
      </c>
      <c r="J23" s="346">
        <f t="shared" si="4"/>
        <v>-3539.6133312637357</v>
      </c>
      <c r="K23" s="347">
        <f t="shared" si="5"/>
        <v>2347.3997268626244</v>
      </c>
      <c r="L23" s="341">
        <f t="shared" si="6"/>
        <v>0</v>
      </c>
      <c r="N23" s="75" t="s">
        <v>77</v>
      </c>
      <c r="O23" s="345">
        <f>'Info Pasajeros e Ingresos P20'!AY24</f>
        <v>5187.6826666666657</v>
      </c>
      <c r="P23" s="346">
        <f>'Info Pasajeros e Ingresos P20'!AY104</f>
        <v>2347.3997268626244</v>
      </c>
      <c r="Q23" s="367">
        <f t="shared" si="7"/>
        <v>0.45249485708634163</v>
      </c>
      <c r="R23" s="345">
        <f>'Info Pasajeros e Ingresos P20'!BK24</f>
        <v>5447.0667999999996</v>
      </c>
      <c r="S23" s="346">
        <f>'Info Pasajeros e Ingresos P20'!BK104</f>
        <v>2464.769713205756</v>
      </c>
      <c r="T23" s="367">
        <f t="shared" si="1"/>
        <v>0.45249485708634163</v>
      </c>
      <c r="U23" s="345">
        <f t="shared" si="8"/>
        <v>181.92175033195258</v>
      </c>
      <c r="V23" s="346">
        <f t="shared" si="9"/>
        <v>-64.551763988821065</v>
      </c>
      <c r="W23" s="347">
        <f t="shared" si="10"/>
        <v>0</v>
      </c>
      <c r="X23" s="341">
        <f t="shared" si="11"/>
        <v>0</v>
      </c>
    </row>
    <row r="24" spans="2:24">
      <c r="B24" s="81" t="s">
        <v>78</v>
      </c>
      <c r="C24" s="348">
        <f>'Info Pasajeros e Ingresos P20'!S25</f>
        <v>24.896999999999998</v>
      </c>
      <c r="D24" s="376"/>
      <c r="E24" s="350">
        <f t="shared" si="2"/>
        <v>0</v>
      </c>
      <c r="F24" s="348">
        <f>'Info Pasajeros e Ingresos P20'!AY25</f>
        <v>2.2906</v>
      </c>
      <c r="G24" s="349">
        <f>'Info Pasajeros e Ingresos P20'!AY105</f>
        <v>4.6045757936606586</v>
      </c>
      <c r="H24" s="368">
        <f t="shared" si="0"/>
        <v>2.0102050963331259</v>
      </c>
      <c r="I24" s="348">
        <f t="shared" si="3"/>
        <v>-15.855232946801589</v>
      </c>
      <c r="J24" s="349">
        <f t="shared" si="4"/>
        <v>15.855232946801589</v>
      </c>
      <c r="K24" s="350">
        <f t="shared" si="5"/>
        <v>4.6045757936606586</v>
      </c>
      <c r="L24" s="341">
        <f t="shared" si="6"/>
        <v>0</v>
      </c>
      <c r="N24" s="81" t="s">
        <v>78</v>
      </c>
      <c r="O24" s="348">
        <f>'Info Pasajeros e Ingresos P20'!AY25</f>
        <v>2.2906</v>
      </c>
      <c r="P24" s="349">
        <f>'Info Pasajeros e Ingresos P20'!AY105</f>
        <v>4.6045757936606586</v>
      </c>
      <c r="Q24" s="368">
        <f t="shared" si="7"/>
        <v>2.0102050963331259</v>
      </c>
      <c r="R24" s="348">
        <f>'Info Pasajeros e Ingresos P20'!BK25</f>
        <v>2.2906</v>
      </c>
      <c r="S24" s="349">
        <f>'Info Pasajeros e Ingresos P20'!BK105</f>
        <v>4.6045757936606586</v>
      </c>
      <c r="T24" s="368">
        <f t="shared" si="1"/>
        <v>2.0102050963331259</v>
      </c>
      <c r="U24" s="348">
        <f t="shared" si="8"/>
        <v>0</v>
      </c>
      <c r="V24" s="349">
        <f t="shared" si="9"/>
        <v>0</v>
      </c>
      <c r="W24" s="350">
        <f t="shared" si="10"/>
        <v>0</v>
      </c>
      <c r="X24" s="341">
        <f t="shared" si="11"/>
        <v>0</v>
      </c>
    </row>
    <row r="25" spans="2:24">
      <c r="B25" s="81" t="s">
        <v>79</v>
      </c>
      <c r="C25" s="348">
        <f>'Info Pasajeros e Ingresos P20'!S26</f>
        <v>27.335999999999999</v>
      </c>
      <c r="D25" s="376"/>
      <c r="E25" s="350">
        <f t="shared" si="2"/>
        <v>0</v>
      </c>
      <c r="F25" s="348">
        <f>'Info Pasajeros e Ingresos P20'!AY26</f>
        <v>24.5534</v>
      </c>
      <c r="G25" s="349">
        <f>'Info Pasajeros e Ingresos P20'!AY106</f>
        <v>0</v>
      </c>
      <c r="H25" s="368">
        <f t="shared" si="0"/>
        <v>0</v>
      </c>
      <c r="I25" s="348">
        <f t="shared" si="3"/>
        <v>-1.9516053505985069</v>
      </c>
      <c r="J25" s="349">
        <f t="shared" si="4"/>
        <v>1.9516053505985069</v>
      </c>
      <c r="K25" s="350">
        <f t="shared" si="5"/>
        <v>0</v>
      </c>
      <c r="L25" s="341">
        <f t="shared" si="6"/>
        <v>0</v>
      </c>
      <c r="N25" s="81" t="s">
        <v>79</v>
      </c>
      <c r="O25" s="348">
        <f>'Info Pasajeros e Ingresos P20'!AY26</f>
        <v>24.5534</v>
      </c>
      <c r="P25" s="349">
        <f>'Info Pasajeros e Ingresos P20'!AY106</f>
        <v>0</v>
      </c>
      <c r="Q25" s="368">
        <f t="shared" si="7"/>
        <v>0</v>
      </c>
      <c r="R25" s="348">
        <f>'Info Pasajeros e Ingresos P20'!BK26</f>
        <v>24.5534</v>
      </c>
      <c r="S25" s="349">
        <f>'Info Pasajeros e Ingresos P20'!BK106</f>
        <v>0</v>
      </c>
      <c r="T25" s="368">
        <f t="shared" si="1"/>
        <v>0</v>
      </c>
      <c r="U25" s="348">
        <f t="shared" si="8"/>
        <v>0</v>
      </c>
      <c r="V25" s="349">
        <f t="shared" si="9"/>
        <v>0</v>
      </c>
      <c r="W25" s="350">
        <f t="shared" si="10"/>
        <v>0</v>
      </c>
      <c r="X25" s="341">
        <f t="shared" si="11"/>
        <v>0</v>
      </c>
    </row>
    <row r="26" spans="2:24">
      <c r="B26" s="81" t="s">
        <v>80</v>
      </c>
      <c r="C26" s="348">
        <f>'Info Pasajeros e Ingresos P20'!S27</f>
        <v>23.920999999999999</v>
      </c>
      <c r="D26" s="376"/>
      <c r="E26" s="350">
        <f t="shared" si="2"/>
        <v>0</v>
      </c>
      <c r="F26" s="348">
        <f>'Info Pasajeros e Ingresos P20'!AY27</f>
        <v>18.216200000000001</v>
      </c>
      <c r="G26" s="349">
        <f>'Info Pasajeros e Ingresos P20'!AY107</f>
        <v>0</v>
      </c>
      <c r="H26" s="368">
        <f t="shared" si="0"/>
        <v>0</v>
      </c>
      <c r="I26" s="348">
        <f t="shared" si="3"/>
        <v>-4.0011206080983124</v>
      </c>
      <c r="J26" s="349">
        <f t="shared" si="4"/>
        <v>4.0011206080983124</v>
      </c>
      <c r="K26" s="350">
        <f t="shared" si="5"/>
        <v>0</v>
      </c>
      <c r="L26" s="341">
        <f t="shared" si="6"/>
        <v>0</v>
      </c>
      <c r="N26" s="81" t="s">
        <v>80</v>
      </c>
      <c r="O26" s="348">
        <f>'Info Pasajeros e Ingresos P20'!AY27</f>
        <v>18.216200000000001</v>
      </c>
      <c r="P26" s="349">
        <f>'Info Pasajeros e Ingresos P20'!AY107</f>
        <v>0</v>
      </c>
      <c r="Q26" s="368">
        <f t="shared" si="7"/>
        <v>0</v>
      </c>
      <c r="R26" s="348">
        <f>'Info Pasajeros e Ingresos P20'!BK27</f>
        <v>18.216200000000001</v>
      </c>
      <c r="S26" s="349">
        <f>'Info Pasajeros e Ingresos P20'!BK107</f>
        <v>0</v>
      </c>
      <c r="T26" s="368">
        <f t="shared" si="1"/>
        <v>0</v>
      </c>
      <c r="U26" s="348">
        <f t="shared" si="8"/>
        <v>0</v>
      </c>
      <c r="V26" s="349">
        <f t="shared" si="9"/>
        <v>0</v>
      </c>
      <c r="W26" s="350">
        <f t="shared" si="10"/>
        <v>0</v>
      </c>
      <c r="X26" s="341">
        <f t="shared" si="11"/>
        <v>0</v>
      </c>
    </row>
    <row r="27" spans="2:24">
      <c r="B27" s="81" t="s">
        <v>81</v>
      </c>
      <c r="C27" s="348">
        <f>'Info Pasajeros e Ingresos P20'!S28</f>
        <v>12.044</v>
      </c>
      <c r="D27" s="376"/>
      <c r="E27" s="350">
        <f t="shared" si="2"/>
        <v>0</v>
      </c>
      <c r="F27" s="348">
        <f>'Info Pasajeros e Ingresos P20'!AY28</f>
        <v>8.5942000000000007</v>
      </c>
      <c r="G27" s="349">
        <f>'Info Pasajeros e Ingresos P20'!AY108</f>
        <v>0</v>
      </c>
      <c r="H27" s="368">
        <f t="shared" si="0"/>
        <v>0</v>
      </c>
      <c r="I27" s="348">
        <f t="shared" si="3"/>
        <v>-2.419552985874625</v>
      </c>
      <c r="J27" s="349">
        <f t="shared" si="4"/>
        <v>2.419552985874625</v>
      </c>
      <c r="K27" s="350">
        <f t="shared" si="5"/>
        <v>0</v>
      </c>
      <c r="L27" s="341">
        <f t="shared" si="6"/>
        <v>0</v>
      </c>
      <c r="N27" s="81" t="s">
        <v>81</v>
      </c>
      <c r="O27" s="348">
        <f>'Info Pasajeros e Ingresos P20'!AY28</f>
        <v>8.5942000000000007</v>
      </c>
      <c r="P27" s="349">
        <f>'Info Pasajeros e Ingresos P20'!AY108</f>
        <v>0</v>
      </c>
      <c r="Q27" s="368">
        <f t="shared" si="7"/>
        <v>0</v>
      </c>
      <c r="R27" s="348">
        <f>'Info Pasajeros e Ingresos P20'!BK28</f>
        <v>8.5942000000000007</v>
      </c>
      <c r="S27" s="349">
        <f>'Info Pasajeros e Ingresos P20'!BK108</f>
        <v>0</v>
      </c>
      <c r="T27" s="368">
        <f t="shared" si="1"/>
        <v>0</v>
      </c>
      <c r="U27" s="348">
        <f t="shared" si="8"/>
        <v>0</v>
      </c>
      <c r="V27" s="349">
        <f t="shared" si="9"/>
        <v>0</v>
      </c>
      <c r="W27" s="350">
        <f t="shared" si="10"/>
        <v>0</v>
      </c>
      <c r="X27" s="341">
        <f t="shared" si="11"/>
        <v>0</v>
      </c>
    </row>
    <row r="28" spans="2:24">
      <c r="B28" s="81" t="s">
        <v>82</v>
      </c>
      <c r="C28" s="348">
        <f>'Info Pasajeros e Ingresos P20'!S29</f>
        <v>53.938000000000002</v>
      </c>
      <c r="D28" s="376"/>
      <c r="E28" s="350">
        <f t="shared" si="2"/>
        <v>0</v>
      </c>
      <c r="F28" s="348">
        <f>'Info Pasajeros e Ingresos P20'!AY29</f>
        <v>43.4574</v>
      </c>
      <c r="G28" s="349">
        <f>'Info Pasajeros e Ingresos P20'!AY109</f>
        <v>37.023805138843372</v>
      </c>
      <c r="H28" s="368">
        <f t="shared" si="0"/>
        <v>0.85195628681981372</v>
      </c>
      <c r="I28" s="348">
        <f t="shared" si="3"/>
        <v>-7.3506774374623465</v>
      </c>
      <c r="J28" s="349">
        <f t="shared" si="4"/>
        <v>7.3506774374623465</v>
      </c>
      <c r="K28" s="350">
        <f t="shared" si="5"/>
        <v>37.023805138843372</v>
      </c>
      <c r="L28" s="341">
        <f t="shared" si="6"/>
        <v>0</v>
      </c>
      <c r="N28" s="81" t="s">
        <v>82</v>
      </c>
      <c r="O28" s="348">
        <f>'Info Pasajeros e Ingresos P20'!AY29</f>
        <v>43.4574</v>
      </c>
      <c r="P28" s="349">
        <f>'Info Pasajeros e Ingresos P20'!AY109</f>
        <v>37.023805138843372</v>
      </c>
      <c r="Q28" s="368">
        <f t="shared" si="7"/>
        <v>0.85195628681981372</v>
      </c>
      <c r="R28" s="348">
        <f>'Info Pasajeros e Ingresos P20'!BK29</f>
        <v>43.4574</v>
      </c>
      <c r="S28" s="349">
        <f>'Info Pasajeros e Ingresos P20'!BK109</f>
        <v>37.023805138843372</v>
      </c>
      <c r="T28" s="368">
        <f t="shared" si="1"/>
        <v>0.85195628681981372</v>
      </c>
      <c r="U28" s="348">
        <f t="shared" si="8"/>
        <v>0</v>
      </c>
      <c r="V28" s="349">
        <f t="shared" si="9"/>
        <v>0</v>
      </c>
      <c r="W28" s="350">
        <f t="shared" si="10"/>
        <v>0</v>
      </c>
      <c r="X28" s="341">
        <f t="shared" si="11"/>
        <v>0</v>
      </c>
    </row>
    <row r="29" spans="2:24">
      <c r="B29" s="119" t="s">
        <v>129</v>
      </c>
      <c r="C29" s="348">
        <f>'Info Pasajeros e Ingresos P20'!S30</f>
        <v>0</v>
      </c>
      <c r="D29" s="376"/>
      <c r="E29" s="350">
        <f t="shared" si="2"/>
        <v>0</v>
      </c>
      <c r="F29" s="348">
        <f>'Info Pasajeros e Ingresos P20'!AY30</f>
        <v>0</v>
      </c>
      <c r="G29" s="349">
        <f>'Info Pasajeros e Ingresos P20'!AY110</f>
        <v>0</v>
      </c>
      <c r="H29" s="368">
        <f t="shared" si="0"/>
        <v>0</v>
      </c>
      <c r="I29" s="348">
        <f t="shared" si="3"/>
        <v>0</v>
      </c>
      <c r="J29" s="349">
        <f t="shared" si="4"/>
        <v>0</v>
      </c>
      <c r="K29" s="350">
        <f t="shared" si="5"/>
        <v>0</v>
      </c>
      <c r="L29" s="341">
        <f t="shared" si="6"/>
        <v>0</v>
      </c>
      <c r="N29" s="119" t="s">
        <v>129</v>
      </c>
      <c r="O29" s="348">
        <f>'Info Pasajeros e Ingresos P20'!AY30</f>
        <v>0</v>
      </c>
      <c r="P29" s="349">
        <f>'Info Pasajeros e Ingresos P20'!AY110</f>
        <v>0</v>
      </c>
      <c r="Q29" s="368">
        <f t="shared" si="7"/>
        <v>0</v>
      </c>
      <c r="R29" s="348">
        <f>'Info Pasajeros e Ingresos P20'!BK30</f>
        <v>0</v>
      </c>
      <c r="S29" s="349">
        <f>'Info Pasajeros e Ingresos P20'!BK110</f>
        <v>0</v>
      </c>
      <c r="T29" s="368">
        <f t="shared" si="1"/>
        <v>0</v>
      </c>
      <c r="U29" s="348">
        <f t="shared" si="8"/>
        <v>0</v>
      </c>
      <c r="V29" s="349">
        <f t="shared" si="9"/>
        <v>0</v>
      </c>
      <c r="W29" s="350">
        <f t="shared" si="10"/>
        <v>0</v>
      </c>
      <c r="X29" s="341">
        <f t="shared" si="11"/>
        <v>0</v>
      </c>
    </row>
    <row r="30" spans="2:24">
      <c r="B30" s="119" t="s">
        <v>326</v>
      </c>
      <c r="C30" s="348">
        <f>'Info Pasajeros e Ingresos P20'!S31</f>
        <v>0</v>
      </c>
      <c r="D30" s="376"/>
      <c r="E30" s="350">
        <f t="shared" si="2"/>
        <v>0</v>
      </c>
      <c r="F30" s="348">
        <f>'Info Pasajeros e Ingresos P20'!AY31</f>
        <v>0</v>
      </c>
      <c r="G30" s="349">
        <f>'Info Pasajeros e Ingresos P20'!AY111</f>
        <v>-249.94251999999983</v>
      </c>
      <c r="H30" s="368">
        <f t="shared" si="0"/>
        <v>0</v>
      </c>
      <c r="I30" s="348">
        <f t="shared" si="3"/>
        <v>0</v>
      </c>
      <c r="J30" s="349">
        <f t="shared" si="4"/>
        <v>0</v>
      </c>
      <c r="K30" s="371">
        <f>G30-D30</f>
        <v>-249.94251999999983</v>
      </c>
      <c r="L30" s="341">
        <f t="shared" si="6"/>
        <v>0</v>
      </c>
      <c r="N30" s="119" t="s">
        <v>326</v>
      </c>
      <c r="O30" s="348">
        <f>'Info Pasajeros e Ingresos P20'!AY31</f>
        <v>0</v>
      </c>
      <c r="P30" s="349">
        <f>'Info Pasajeros e Ingresos P20'!AY111</f>
        <v>-249.94251999999983</v>
      </c>
      <c r="Q30" s="368">
        <f t="shared" si="7"/>
        <v>0</v>
      </c>
      <c r="R30" s="348">
        <f>'Info Pasajeros e Ingresos P20'!BK31</f>
        <v>0</v>
      </c>
      <c r="S30" s="349">
        <f>'Info Pasajeros e Ingresos P20'!BK111</f>
        <v>0</v>
      </c>
      <c r="T30" s="368">
        <f t="shared" si="1"/>
        <v>0</v>
      </c>
      <c r="U30" s="348">
        <f t="shared" si="8"/>
        <v>0</v>
      </c>
      <c r="V30" s="349">
        <f t="shared" si="9"/>
        <v>0</v>
      </c>
      <c r="W30" s="371">
        <f>S30-P30</f>
        <v>249.94251999999983</v>
      </c>
      <c r="X30" s="341">
        <f t="shared" si="11"/>
        <v>0</v>
      </c>
    </row>
    <row r="31" spans="2:24" ht="12.75" thickBot="1">
      <c r="B31" s="83" t="s">
        <v>101</v>
      </c>
      <c r="C31" s="351">
        <f>'Info Pasajeros e Ingresos P20'!S32</f>
        <v>0</v>
      </c>
      <c r="D31" s="377"/>
      <c r="E31" s="353">
        <f t="shared" si="2"/>
        <v>0</v>
      </c>
      <c r="F31" s="351">
        <f>'Info Pasajeros e Ingresos P20'!AY32</f>
        <v>0</v>
      </c>
      <c r="G31" s="352">
        <f>'Info Pasajeros e Ingresos P20'!AY112</f>
        <v>149.76843999999736</v>
      </c>
      <c r="H31" s="369">
        <f t="shared" si="0"/>
        <v>0</v>
      </c>
      <c r="I31" s="351">
        <f t="shared" si="3"/>
        <v>0</v>
      </c>
      <c r="J31" s="352">
        <f t="shared" si="4"/>
        <v>0</v>
      </c>
      <c r="K31" s="375">
        <f>G31-D31</f>
        <v>149.76843999999736</v>
      </c>
      <c r="L31" s="341">
        <f t="shared" si="6"/>
        <v>0</v>
      </c>
      <c r="N31" s="83" t="s">
        <v>101</v>
      </c>
      <c r="O31" s="351">
        <f>'Info Pasajeros e Ingresos P20'!AY32</f>
        <v>0</v>
      </c>
      <c r="P31" s="352">
        <f>'Info Pasajeros e Ingresos P20'!AY112</f>
        <v>149.76843999999736</v>
      </c>
      <c r="Q31" s="369">
        <f t="shared" si="7"/>
        <v>0</v>
      </c>
      <c r="R31" s="351">
        <f>'Info Pasajeros e Ingresos P20'!BK32</f>
        <v>0</v>
      </c>
      <c r="S31" s="352">
        <f>'Info Pasajeros e Ingresos P20'!BK112</f>
        <v>150</v>
      </c>
      <c r="T31" s="369">
        <f t="shared" si="1"/>
        <v>0</v>
      </c>
      <c r="U31" s="351">
        <f t="shared" si="8"/>
        <v>0</v>
      </c>
      <c r="V31" s="352">
        <f t="shared" si="9"/>
        <v>0</v>
      </c>
      <c r="W31" s="375">
        <f>S31-P31</f>
        <v>0.23156000000264498</v>
      </c>
      <c r="X31" s="341">
        <f t="shared" si="11"/>
        <v>0</v>
      </c>
    </row>
    <row r="32" spans="2:24">
      <c r="B32" s="89" t="s">
        <v>104</v>
      </c>
      <c r="C32" s="13">
        <f>SUM(C4:C31)</f>
        <v>31295.570000000003</v>
      </c>
      <c r="D32" s="13">
        <f>SUM(D4:D31)</f>
        <v>0</v>
      </c>
      <c r="E32" s="13">
        <f t="shared" si="2"/>
        <v>0</v>
      </c>
      <c r="F32" s="13">
        <f>SUM(F4:F31)</f>
        <v>34585.695666666674</v>
      </c>
      <c r="G32" s="13">
        <f>SUM(G4:G31)</f>
        <v>24257.036123495403</v>
      </c>
      <c r="H32" s="370">
        <f t="shared" si="0"/>
        <v>0.70136036462247819</v>
      </c>
      <c r="I32" s="13">
        <f>SUM(I4:I31)</f>
        <v>2307.563737227109</v>
      </c>
      <c r="J32" s="13">
        <f>SUM(J4:J31)</f>
        <v>-2307.563737227109</v>
      </c>
      <c r="K32" s="13">
        <f>SUM(K4:K31)</f>
        <v>24257.036123495403</v>
      </c>
      <c r="L32" s="341">
        <f t="shared" si="6"/>
        <v>0</v>
      </c>
      <c r="N32" s="89" t="s">
        <v>104</v>
      </c>
      <c r="O32" s="13">
        <f>SUM(O4:O31)</f>
        <v>34585.695666666674</v>
      </c>
      <c r="P32" s="13">
        <f>SUM(P4:P31)</f>
        <v>24257.036123495403</v>
      </c>
      <c r="Q32" s="370">
        <f t="shared" si="7"/>
        <v>0.70136036462247819</v>
      </c>
      <c r="R32" s="13">
        <f>SUM(R4:R31)</f>
        <v>35024.718606038754</v>
      </c>
      <c r="S32" s="13">
        <f>SUM(S4:S31)</f>
        <v>24709.732162467179</v>
      </c>
      <c r="T32" s="370">
        <f t="shared" si="1"/>
        <v>0.70549409519615303</v>
      </c>
      <c r="U32" s="13">
        <f>SUM(U4:U31)</f>
        <v>307.91328883564239</v>
      </c>
      <c r="V32" s="13">
        <f>SUM(V4:V31)</f>
        <v>-105.39132986386777</v>
      </c>
      <c r="W32" s="13">
        <f>SUM(W4:W31)</f>
        <v>250.17408000000248</v>
      </c>
      <c r="X32" s="341">
        <f t="shared" si="11"/>
        <v>-1.9326762412674725E-12</v>
      </c>
    </row>
    <row r="33" spans="2:24">
      <c r="B33" s="89"/>
      <c r="C33" s="13"/>
      <c r="D33" s="13"/>
      <c r="E33" s="13"/>
      <c r="F33" s="13"/>
      <c r="G33" s="13"/>
      <c r="H33" s="370"/>
      <c r="I33" s="378">
        <f>I32/$P$32</f>
        <v>9.5129665696956231E-2</v>
      </c>
      <c r="J33" s="378">
        <f>J32/$P$32</f>
        <v>-9.5129665696956231E-2</v>
      </c>
      <c r="K33" s="378">
        <f>K32/$P$32</f>
        <v>1</v>
      </c>
      <c r="L33" s="341"/>
      <c r="N33" s="89"/>
      <c r="O33" s="13">
        <f>SUM(O4:O28)</f>
        <v>34585.695666666674</v>
      </c>
      <c r="P33" s="13">
        <f>SUM(P4:P28)</f>
        <v>24357.210203495408</v>
      </c>
      <c r="Q33" s="370">
        <f t="shared" si="7"/>
        <v>0.704256766677405</v>
      </c>
      <c r="R33" s="13">
        <f>SUM(R4:R28)</f>
        <v>35024.718606038754</v>
      </c>
      <c r="S33" s="13">
        <f>SUM(S4:S28)</f>
        <v>24559.732162467179</v>
      </c>
      <c r="T33" s="370">
        <f t="shared" si="1"/>
        <v>0.70121140554239125</v>
      </c>
      <c r="U33" s="378">
        <f>U32/$P$32</f>
        <v>1.2693772119067633E-2</v>
      </c>
      <c r="V33" s="378">
        <f>V32/$P$32</f>
        <v>-4.3447735876431153E-3</v>
      </c>
      <c r="W33" s="378">
        <f>W32/$P$32</f>
        <v>1.0313464461459225E-2</v>
      </c>
      <c r="X33" s="341"/>
    </row>
    <row r="34" spans="2:24" s="365" customFormat="1">
      <c r="C34" s="341">
        <f>C32-'Info Pasajeros e Ingresos P20'!S33</f>
        <v>0</v>
      </c>
      <c r="F34" s="14">
        <f>F32-'Info Pasajeros e Ingresos P20'!AY33</f>
        <v>0</v>
      </c>
      <c r="G34" s="14">
        <f>G32-'Info Pasajeros e Ingresos P20'!AY121</f>
        <v>0</v>
      </c>
      <c r="O34" s="14">
        <f>O32-'Info Pasajeros e Ingresos P20'!AY33</f>
        <v>0</v>
      </c>
      <c r="P34" s="14">
        <f>P32-'Info Pasajeros e Ingresos P20'!AY121</f>
        <v>0</v>
      </c>
      <c r="R34" s="14">
        <f>R32-'Info Pasajeros e Ingresos P20'!BK33</f>
        <v>0</v>
      </c>
      <c r="S34" s="14">
        <f>S32-'Info Pasajeros e Ingresos P20'!BK121</f>
        <v>0</v>
      </c>
    </row>
    <row r="36" spans="2:24">
      <c r="N36" s="75" t="s">
        <v>65</v>
      </c>
      <c r="O36" s="345">
        <f>O11</f>
        <v>13977.852000000003</v>
      </c>
      <c r="P36" s="346">
        <f t="shared" ref="P36:T36" si="12">P11</f>
        <v>11517.881823953885</v>
      </c>
      <c r="Q36" s="367">
        <f t="shared" si="12"/>
        <v>0.82400942748241168</v>
      </c>
      <c r="R36" s="345">
        <f t="shared" si="12"/>
        <v>13917.418481038761</v>
      </c>
      <c r="S36" s="346">
        <f t="shared" si="12"/>
        <v>11468.084034593885</v>
      </c>
      <c r="T36" s="367">
        <f t="shared" si="12"/>
        <v>0.82400942748241168</v>
      </c>
    </row>
    <row r="37" spans="2:24">
      <c r="N37" s="75" t="s">
        <v>76</v>
      </c>
      <c r="O37" s="345">
        <f>O22</f>
        <v>5273.3459999999995</v>
      </c>
      <c r="P37" s="346">
        <f t="shared" ref="P37:T38" si="13">P22</f>
        <v>2399.7772357625408</v>
      </c>
      <c r="Q37" s="367">
        <f t="shared" si="13"/>
        <v>0.45507676449877194</v>
      </c>
      <c r="R37" s="345">
        <f t="shared" si="13"/>
        <v>5537.0132999999996</v>
      </c>
      <c r="S37" s="346">
        <f t="shared" si="13"/>
        <v>2519.7660975506678</v>
      </c>
      <c r="T37" s="367">
        <f t="shared" si="13"/>
        <v>0.45507676449877194</v>
      </c>
    </row>
    <row r="38" spans="2:24">
      <c r="N38" s="75" t="s">
        <v>77</v>
      </c>
      <c r="O38" s="345">
        <f>O23</f>
        <v>5187.6826666666657</v>
      </c>
      <c r="P38" s="346">
        <f t="shared" si="13"/>
        <v>2347.3997268626244</v>
      </c>
      <c r="Q38" s="367">
        <f t="shared" si="13"/>
        <v>0.45249485708634163</v>
      </c>
      <c r="R38" s="345">
        <f t="shared" si="13"/>
        <v>5447.0667999999996</v>
      </c>
      <c r="S38" s="346">
        <f t="shared" si="13"/>
        <v>2464.769713205756</v>
      </c>
      <c r="T38" s="367">
        <f t="shared" si="13"/>
        <v>0.45249485708634163</v>
      </c>
    </row>
    <row r="39" spans="2:24">
      <c r="O39" s="207">
        <f>SUM(O36:O38)</f>
        <v>24438.880666666671</v>
      </c>
      <c r="P39" s="207">
        <f>SUM(P36:P38)</f>
        <v>16265.058786579049</v>
      </c>
      <c r="Q39" s="472">
        <f>P39/O39</f>
        <v>0.66554025155348961</v>
      </c>
      <c r="R39" s="207">
        <f t="shared" ref="R39:S39" si="14">SUM(R36:R38)</f>
        <v>24901.498581038762</v>
      </c>
      <c r="S39" s="207">
        <f t="shared" si="14"/>
        <v>16452.619845350309</v>
      </c>
      <c r="T39" s="472">
        <f>S39/R39</f>
        <v>0.66070802091718894</v>
      </c>
    </row>
    <row r="41" spans="2:24">
      <c r="N41" s="5" t="s">
        <v>915</v>
      </c>
    </row>
    <row r="42" spans="2:24">
      <c r="N42" s="75" t="s">
        <v>65</v>
      </c>
      <c r="P42" s="656" t="e">
        <f>#REF!</f>
        <v>#REF!</v>
      </c>
    </row>
    <row r="43" spans="2:24">
      <c r="N43" s="75" t="s">
        <v>76</v>
      </c>
    </row>
    <row r="44" spans="2:24">
      <c r="N44" s="75" t="s">
        <v>77</v>
      </c>
    </row>
    <row r="82" spans="4:4">
      <c r="D82" s="5">
        <v>18705</v>
      </c>
    </row>
    <row r="83" spans="4:4">
      <c r="D83" s="5">
        <v>18705</v>
      </c>
    </row>
    <row r="84" spans="4:4">
      <c r="D84" s="5">
        <v>18705</v>
      </c>
    </row>
    <row r="85" spans="4:4">
      <c r="D85" s="5">
        <v>18705</v>
      </c>
    </row>
    <row r="86" spans="4:4">
      <c r="D86" s="5">
        <v>18705</v>
      </c>
    </row>
    <row r="87" spans="4:4">
      <c r="D87" s="5">
        <v>18705</v>
      </c>
    </row>
    <row r="88" spans="4:4">
      <c r="D88" s="5">
        <v>18705</v>
      </c>
    </row>
    <row r="89" spans="4:4">
      <c r="D89" s="5">
        <v>18705</v>
      </c>
    </row>
    <row r="90" spans="4:4">
      <c r="D90" s="5">
        <v>18705</v>
      </c>
    </row>
    <row r="91" spans="4:4">
      <c r="D91" s="5">
        <v>18705</v>
      </c>
    </row>
    <row r="92" spans="4:4">
      <c r="D92" s="5">
        <v>18705</v>
      </c>
    </row>
    <row r="93" spans="4:4">
      <c r="D93" s="5">
        <v>18705</v>
      </c>
    </row>
    <row r="94" spans="4:4">
      <c r="D94" s="5">
        <v>18705</v>
      </c>
    </row>
    <row r="95" spans="4:4">
      <c r="D95" s="5">
        <v>18705</v>
      </c>
    </row>
    <row r="96" spans="4:4">
      <c r="D96" s="5">
        <v>18705</v>
      </c>
    </row>
    <row r="97" spans="4:4">
      <c r="D97" s="5">
        <v>18705</v>
      </c>
    </row>
    <row r="98" spans="4:4">
      <c r="D98" s="5">
        <v>18705</v>
      </c>
    </row>
    <row r="99" spans="4:4">
      <c r="D99" s="5">
        <v>18705</v>
      </c>
    </row>
    <row r="100" spans="4:4">
      <c r="D100" s="5">
        <v>18705</v>
      </c>
    </row>
    <row r="101" spans="4:4">
      <c r="D101" s="5">
        <v>18705</v>
      </c>
    </row>
    <row r="102" spans="4:4">
      <c r="D102" s="5">
        <v>18705</v>
      </c>
    </row>
    <row r="103" spans="4:4">
      <c r="D103" s="5">
        <v>18705</v>
      </c>
    </row>
    <row r="104" spans="4:4">
      <c r="D104" s="5">
        <v>18705</v>
      </c>
    </row>
    <row r="105" spans="4:4">
      <c r="D105" s="5">
        <v>18705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sheetPr>
    <tabColor rgb="FFFFFF99"/>
  </sheetPr>
  <dimension ref="A1:XFD13"/>
  <sheetViews>
    <sheetView workbookViewId="0">
      <selection activeCell="AQ162" sqref="AQ162"/>
    </sheetView>
  </sheetViews>
  <sheetFormatPr baseColWidth="10" defaultColWidth="11.42578125" defaultRowHeight="12"/>
  <cols>
    <col min="1" max="1" width="11.42578125" style="5"/>
    <col min="2" max="10" width="11.42578125" style="5" customWidth="1"/>
    <col min="11" max="11" width="38.42578125" style="5" bestFit="1" customWidth="1"/>
    <col min="12" max="16384" width="11.42578125" style="5"/>
  </cols>
  <sheetData>
    <row r="1" spans="1:1024 1035:2048 2059:3072 3083:4096 4107:5120 5131:6144 6155:7168 7179:8192 8203:9216 9227:10240 10251:11264 11275:12288 12299:13312 13323:14336 14347:15360 15371:16384">
      <c r="A1" s="205" t="s">
        <v>273</v>
      </c>
      <c r="L1" s="12"/>
      <c r="M1" s="12"/>
      <c r="N1" s="12"/>
    </row>
    <row r="2" spans="1:1024 1035:2048 2059:3072 3083:4096 4107:5120 5131:6144 6155:7168 7179:8192 8203:9216 9227:10240 10251:11264 11275:12288 12299:13312 13323:14336 14347:15360 15371:16384" ht="24">
      <c r="K2" s="6" t="s">
        <v>39</v>
      </c>
      <c r="L2" s="9" t="s">
        <v>958</v>
      </c>
      <c r="M2" s="9" t="s">
        <v>959</v>
      </c>
      <c r="N2" s="9" t="s">
        <v>917</v>
      </c>
      <c r="P2" s="9" t="s">
        <v>960</v>
      </c>
    </row>
    <row r="3" spans="1:1024 1035:2048 2059:3072 3083:4096 4107:5120 5131:6144 6155:7168 7179:8192 8203:9216 9227:10240 10251:11264 11275:12288 12299:13312 13323:14336 14347:15360 15371:16384">
      <c r="K3" s="7" t="s">
        <v>51</v>
      </c>
      <c r="L3" s="10"/>
      <c r="M3" s="10"/>
      <c r="N3" s="10"/>
      <c r="P3" s="10">
        <f>L3-M3</f>
        <v>0</v>
      </c>
    </row>
    <row r="4" spans="1:1024 1035:2048 2059:3072 3083:4096 4107:5120 5131:6144 6155:7168 7179:8192 8203:9216 9227:10240 10251:11264 11275:12288 12299:13312 13323:14336 14347:15360 15371:16384">
      <c r="K4" s="7" t="s">
        <v>46</v>
      </c>
      <c r="L4" s="10"/>
      <c r="M4" s="10"/>
      <c r="N4" s="10"/>
      <c r="P4" s="10">
        <f t="shared" ref="P4:P12" si="0">L4-M4</f>
        <v>0</v>
      </c>
    </row>
    <row r="5" spans="1:1024 1035:2048 2059:3072 3083:4096 4107:5120 5131:6144 6155:7168 7179:8192 8203:9216 9227:10240 10251:11264 11275:12288 12299:13312 13323:14336 14347:15360 15371:16384">
      <c r="K5" s="7" t="s">
        <v>44</v>
      </c>
      <c r="L5" s="10"/>
      <c r="M5" s="10"/>
      <c r="N5" s="10"/>
      <c r="P5" s="10">
        <f t="shared" si="0"/>
        <v>0</v>
      </c>
    </row>
    <row r="6" spans="1:1024 1035:2048 2059:3072 3083:4096 4107:5120 5131:6144 6155:7168 7179:8192 8203:9216 9227:10240 10251:11264 11275:12288 12299:13312 13323:14336 14347:15360 15371:16384">
      <c r="K6" s="7" t="s">
        <v>50</v>
      </c>
      <c r="L6" s="10"/>
      <c r="M6" s="10"/>
      <c r="N6" s="10"/>
      <c r="P6" s="10">
        <f t="shared" si="0"/>
        <v>0</v>
      </c>
    </row>
    <row r="7" spans="1:1024 1035:2048 2059:3072 3083:4096 4107:5120 5131:6144 6155:7168 7179:8192 8203:9216 9227:10240 10251:11264 11275:12288 12299:13312 13323:14336 14347:15360 15371:16384">
      <c r="K7" s="7" t="s">
        <v>52</v>
      </c>
      <c r="L7" s="15"/>
      <c r="M7" s="15"/>
      <c r="N7" s="10"/>
      <c r="P7" s="10">
        <f t="shared" si="0"/>
        <v>0</v>
      </c>
      <c r="AA7" s="7"/>
      <c r="AB7" s="10"/>
      <c r="AC7" s="10"/>
      <c r="AD7" s="10"/>
      <c r="AF7" s="10"/>
      <c r="AQ7" s="7"/>
      <c r="AR7" s="10"/>
      <c r="AS7" s="10"/>
      <c r="AT7" s="10"/>
      <c r="AV7" s="10"/>
      <c r="BG7" s="7"/>
      <c r="BH7" s="10"/>
      <c r="BI7" s="10"/>
      <c r="BJ7" s="10"/>
      <c r="BL7" s="10"/>
      <c r="BW7" s="7"/>
      <c r="BX7" s="10"/>
      <c r="BY7" s="10"/>
      <c r="BZ7" s="10"/>
      <c r="CB7" s="10"/>
      <c r="CM7" s="7"/>
      <c r="CN7" s="10"/>
      <c r="CO7" s="10"/>
      <c r="CP7" s="10"/>
      <c r="CR7" s="10"/>
      <c r="DC7" s="7"/>
      <c r="DD7" s="10"/>
      <c r="DE7" s="10"/>
      <c r="DF7" s="10"/>
      <c r="DH7" s="10"/>
      <c r="DS7" s="7"/>
      <c r="DT7" s="10"/>
      <c r="DU7" s="10"/>
      <c r="DV7" s="10"/>
      <c r="DX7" s="10"/>
      <c r="EI7" s="7"/>
      <c r="EJ7" s="10"/>
      <c r="EK7" s="10"/>
      <c r="EL7" s="10"/>
      <c r="EN7" s="10"/>
      <c r="EY7" s="7"/>
      <c r="EZ7" s="10"/>
      <c r="FA7" s="10"/>
      <c r="FB7" s="10"/>
      <c r="FD7" s="10"/>
      <c r="FO7" s="7"/>
      <c r="FP7" s="10"/>
      <c r="FQ7" s="10"/>
      <c r="FR7" s="10"/>
      <c r="FT7" s="10"/>
      <c r="GE7" s="7"/>
      <c r="GF7" s="10"/>
      <c r="GG7" s="10"/>
      <c r="GH7" s="10"/>
      <c r="GJ7" s="10"/>
      <c r="GU7" s="7"/>
      <c r="GV7" s="10"/>
      <c r="GW7" s="10"/>
      <c r="GX7" s="10"/>
      <c r="GZ7" s="10"/>
      <c r="HK7" s="7"/>
      <c r="HL7" s="10"/>
      <c r="HM7" s="10"/>
      <c r="HN7" s="10"/>
      <c r="HP7" s="10"/>
      <c r="IA7" s="7"/>
      <c r="IB7" s="10"/>
      <c r="IC7" s="10"/>
      <c r="ID7" s="10"/>
      <c r="IF7" s="10"/>
      <c r="IQ7" s="7"/>
      <c r="IR7" s="10"/>
      <c r="IS7" s="10"/>
      <c r="IT7" s="10"/>
      <c r="IV7" s="10"/>
      <c r="JG7" s="7"/>
      <c r="JH7" s="10"/>
      <c r="JI7" s="10"/>
      <c r="JJ7" s="10"/>
      <c r="JL7" s="10"/>
      <c r="JW7" s="7"/>
      <c r="JX7" s="10"/>
      <c r="JY7" s="10"/>
      <c r="JZ7" s="10"/>
      <c r="KB7" s="10"/>
      <c r="KM7" s="7"/>
      <c r="KN7" s="10"/>
      <c r="KO7" s="10"/>
      <c r="KP7" s="10"/>
      <c r="KR7" s="10"/>
      <c r="LC7" s="7"/>
      <c r="LD7" s="10"/>
      <c r="LE7" s="10"/>
      <c r="LF7" s="10"/>
      <c r="LH7" s="10"/>
      <c r="LS7" s="7"/>
      <c r="LT7" s="10"/>
      <c r="LU7" s="10"/>
      <c r="LV7" s="10"/>
      <c r="LX7" s="10"/>
      <c r="MI7" s="7"/>
      <c r="MJ7" s="10"/>
      <c r="MK7" s="10"/>
      <c r="ML7" s="10"/>
      <c r="MN7" s="10"/>
      <c r="MY7" s="7"/>
      <c r="MZ7" s="10"/>
      <c r="NA7" s="10"/>
      <c r="NB7" s="10"/>
      <c r="ND7" s="10"/>
      <c r="NO7" s="7"/>
      <c r="NP7" s="10"/>
      <c r="NQ7" s="10"/>
      <c r="NR7" s="10"/>
      <c r="NT7" s="10"/>
      <c r="OE7" s="7"/>
      <c r="OF7" s="10"/>
      <c r="OG7" s="10"/>
      <c r="OH7" s="10"/>
      <c r="OJ7" s="10"/>
      <c r="OU7" s="7"/>
      <c r="OV7" s="10"/>
      <c r="OW7" s="10"/>
      <c r="OX7" s="10"/>
      <c r="OZ7" s="10"/>
      <c r="PK7" s="7"/>
      <c r="PL7" s="10"/>
      <c r="PM7" s="10"/>
      <c r="PN7" s="10"/>
      <c r="PP7" s="10"/>
      <c r="QA7" s="7"/>
      <c r="QB7" s="10"/>
      <c r="QC7" s="10"/>
      <c r="QD7" s="10"/>
      <c r="QF7" s="10"/>
      <c r="QQ7" s="7"/>
      <c r="QR7" s="10"/>
      <c r="QS7" s="10"/>
      <c r="QT7" s="10"/>
      <c r="QV7" s="10"/>
      <c r="RG7" s="7"/>
      <c r="RH7" s="10"/>
      <c r="RI7" s="10"/>
      <c r="RJ7" s="10"/>
      <c r="RL7" s="10"/>
      <c r="RW7" s="7"/>
      <c r="RX7" s="10"/>
      <c r="RY7" s="10"/>
      <c r="RZ7" s="10"/>
      <c r="SB7" s="10"/>
      <c r="SM7" s="7"/>
      <c r="SN7" s="10"/>
      <c r="SO7" s="10"/>
      <c r="SP7" s="10"/>
      <c r="SR7" s="10"/>
      <c r="TC7" s="7"/>
      <c r="TD7" s="10"/>
      <c r="TE7" s="10"/>
      <c r="TF7" s="10"/>
      <c r="TH7" s="10"/>
      <c r="TS7" s="7"/>
      <c r="TT7" s="10"/>
      <c r="TU7" s="10"/>
      <c r="TV7" s="10"/>
      <c r="TX7" s="10"/>
      <c r="UI7" s="7"/>
      <c r="UJ7" s="10"/>
      <c r="UK7" s="10"/>
      <c r="UL7" s="10"/>
      <c r="UN7" s="10"/>
      <c r="UY7" s="7"/>
      <c r="UZ7" s="10"/>
      <c r="VA7" s="10"/>
      <c r="VB7" s="10"/>
      <c r="VD7" s="10"/>
      <c r="VO7" s="7"/>
      <c r="VP7" s="10"/>
      <c r="VQ7" s="10"/>
      <c r="VR7" s="10"/>
      <c r="VT7" s="10"/>
      <c r="WE7" s="7"/>
      <c r="WF7" s="10"/>
      <c r="WG7" s="10"/>
      <c r="WH7" s="10"/>
      <c r="WJ7" s="10"/>
      <c r="WU7" s="7"/>
      <c r="WV7" s="10"/>
      <c r="WW7" s="10"/>
      <c r="WX7" s="10"/>
      <c r="WZ7" s="10"/>
      <c r="XK7" s="7"/>
      <c r="XL7" s="10"/>
      <c r="XM7" s="10"/>
      <c r="XN7" s="10"/>
      <c r="XP7" s="10"/>
      <c r="YA7" s="7"/>
      <c r="YB7" s="10"/>
      <c r="YC7" s="10"/>
      <c r="YD7" s="10"/>
      <c r="YF7" s="10"/>
      <c r="YQ7" s="7"/>
      <c r="YR7" s="10"/>
      <c r="YS7" s="10"/>
      <c r="YT7" s="10"/>
      <c r="YV7" s="10"/>
      <c r="ZG7" s="7"/>
      <c r="ZH7" s="10"/>
      <c r="ZI7" s="10"/>
      <c r="ZJ7" s="10"/>
      <c r="ZL7" s="10"/>
      <c r="ZW7" s="7"/>
      <c r="ZX7" s="10"/>
      <c r="ZY7" s="10"/>
      <c r="ZZ7" s="10"/>
      <c r="AAB7" s="10"/>
      <c r="AAM7" s="7"/>
      <c r="AAN7" s="10"/>
      <c r="AAO7" s="10"/>
      <c r="AAP7" s="10"/>
      <c r="AAR7" s="10"/>
      <c r="ABC7" s="7"/>
      <c r="ABD7" s="10"/>
      <c r="ABE7" s="10"/>
      <c r="ABF7" s="10"/>
      <c r="ABH7" s="10"/>
      <c r="ABS7" s="7"/>
      <c r="ABT7" s="10"/>
      <c r="ABU7" s="10"/>
      <c r="ABV7" s="10"/>
      <c r="ABX7" s="10"/>
      <c r="ACI7" s="7"/>
      <c r="ACJ7" s="10"/>
      <c r="ACK7" s="10"/>
      <c r="ACL7" s="10"/>
      <c r="ACN7" s="10"/>
      <c r="ACY7" s="7"/>
      <c r="ACZ7" s="10"/>
      <c r="ADA7" s="10"/>
      <c r="ADB7" s="10"/>
      <c r="ADD7" s="10"/>
      <c r="ADO7" s="7"/>
      <c r="ADP7" s="10"/>
      <c r="ADQ7" s="10"/>
      <c r="ADR7" s="10"/>
      <c r="ADT7" s="10"/>
      <c r="AEE7" s="7"/>
      <c r="AEF7" s="10"/>
      <c r="AEG7" s="10"/>
      <c r="AEH7" s="10"/>
      <c r="AEJ7" s="10"/>
      <c r="AEU7" s="7"/>
      <c r="AEV7" s="10"/>
      <c r="AEW7" s="10"/>
      <c r="AEX7" s="10"/>
      <c r="AEZ7" s="10"/>
      <c r="AFK7" s="7"/>
      <c r="AFL7" s="10"/>
      <c r="AFM7" s="10"/>
      <c r="AFN7" s="10"/>
      <c r="AFP7" s="10"/>
      <c r="AGA7" s="7"/>
      <c r="AGB7" s="10"/>
      <c r="AGC7" s="10"/>
      <c r="AGD7" s="10"/>
      <c r="AGF7" s="10"/>
      <c r="AGQ7" s="7"/>
      <c r="AGR7" s="10"/>
      <c r="AGS7" s="10"/>
      <c r="AGT7" s="10"/>
      <c r="AGV7" s="10"/>
      <c r="AHG7" s="7"/>
      <c r="AHH7" s="10"/>
      <c r="AHI7" s="10"/>
      <c r="AHJ7" s="10"/>
      <c r="AHL7" s="10"/>
      <c r="AHW7" s="7"/>
      <c r="AHX7" s="10"/>
      <c r="AHY7" s="10"/>
      <c r="AHZ7" s="10"/>
      <c r="AIB7" s="10"/>
      <c r="AIM7" s="7"/>
      <c r="AIN7" s="10"/>
      <c r="AIO7" s="10"/>
      <c r="AIP7" s="10"/>
      <c r="AIR7" s="10"/>
      <c r="AJC7" s="7"/>
      <c r="AJD7" s="10"/>
      <c r="AJE7" s="10"/>
      <c r="AJF7" s="10"/>
      <c r="AJH7" s="10"/>
      <c r="AJS7" s="7"/>
      <c r="AJT7" s="10"/>
      <c r="AJU7" s="10"/>
      <c r="AJV7" s="10"/>
      <c r="AJX7" s="10"/>
      <c r="AKI7" s="7"/>
      <c r="AKJ7" s="10"/>
      <c r="AKK7" s="10"/>
      <c r="AKL7" s="10"/>
      <c r="AKN7" s="10"/>
      <c r="AKY7" s="7"/>
      <c r="AKZ7" s="10"/>
      <c r="ALA7" s="10"/>
      <c r="ALB7" s="10"/>
      <c r="ALD7" s="10"/>
      <c r="ALO7" s="7"/>
      <c r="ALP7" s="10"/>
      <c r="ALQ7" s="10"/>
      <c r="ALR7" s="10"/>
      <c r="ALT7" s="10"/>
      <c r="AME7" s="7"/>
      <c r="AMF7" s="10"/>
      <c r="AMG7" s="10"/>
      <c r="AMH7" s="10"/>
      <c r="AMJ7" s="10"/>
      <c r="AMU7" s="7"/>
      <c r="AMV7" s="10"/>
      <c r="AMW7" s="10"/>
      <c r="AMX7" s="10"/>
      <c r="AMZ7" s="10"/>
      <c r="ANK7" s="7"/>
      <c r="ANL7" s="10"/>
      <c r="ANM7" s="10"/>
      <c r="ANN7" s="10"/>
      <c r="ANP7" s="10"/>
      <c r="AOA7" s="7"/>
      <c r="AOB7" s="10"/>
      <c r="AOC7" s="10"/>
      <c r="AOD7" s="10"/>
      <c r="AOF7" s="10"/>
      <c r="AOQ7" s="7"/>
      <c r="AOR7" s="10"/>
      <c r="AOS7" s="10"/>
      <c r="AOT7" s="10"/>
      <c r="AOV7" s="10"/>
      <c r="APG7" s="7"/>
      <c r="APH7" s="10"/>
      <c r="API7" s="10"/>
      <c r="APJ7" s="10"/>
      <c r="APL7" s="10"/>
      <c r="APW7" s="7"/>
      <c r="APX7" s="10"/>
      <c r="APY7" s="10"/>
      <c r="APZ7" s="10"/>
      <c r="AQB7" s="10"/>
      <c r="AQM7" s="7"/>
      <c r="AQN7" s="10"/>
      <c r="AQO7" s="10"/>
      <c r="AQP7" s="10"/>
      <c r="AQR7" s="10"/>
      <c r="ARC7" s="7"/>
      <c r="ARD7" s="10"/>
      <c r="ARE7" s="10"/>
      <c r="ARF7" s="10"/>
      <c r="ARH7" s="10"/>
      <c r="ARS7" s="7"/>
      <c r="ART7" s="10"/>
      <c r="ARU7" s="10"/>
      <c r="ARV7" s="10"/>
      <c r="ARX7" s="10"/>
      <c r="ASI7" s="7"/>
      <c r="ASJ7" s="10"/>
      <c r="ASK7" s="10"/>
      <c r="ASL7" s="10"/>
      <c r="ASN7" s="10"/>
      <c r="ASY7" s="7"/>
      <c r="ASZ7" s="10"/>
      <c r="ATA7" s="10"/>
      <c r="ATB7" s="10"/>
      <c r="ATD7" s="10"/>
      <c r="ATO7" s="7"/>
      <c r="ATP7" s="10"/>
      <c r="ATQ7" s="10"/>
      <c r="ATR7" s="10"/>
      <c r="ATT7" s="10"/>
      <c r="AUE7" s="7"/>
      <c r="AUF7" s="10"/>
      <c r="AUG7" s="10"/>
      <c r="AUH7" s="10"/>
      <c r="AUJ7" s="10"/>
      <c r="AUU7" s="7"/>
      <c r="AUV7" s="10"/>
      <c r="AUW7" s="10"/>
      <c r="AUX7" s="10"/>
      <c r="AUZ7" s="10"/>
      <c r="AVK7" s="7"/>
      <c r="AVL7" s="10"/>
      <c r="AVM7" s="10"/>
      <c r="AVN7" s="10"/>
      <c r="AVP7" s="10"/>
      <c r="AWA7" s="7"/>
      <c r="AWB7" s="10"/>
      <c r="AWC7" s="10"/>
      <c r="AWD7" s="10"/>
      <c r="AWF7" s="10"/>
      <c r="AWQ7" s="7"/>
      <c r="AWR7" s="10"/>
      <c r="AWS7" s="10"/>
      <c r="AWT7" s="10"/>
      <c r="AWV7" s="10"/>
      <c r="AXG7" s="7"/>
      <c r="AXH7" s="10"/>
      <c r="AXI7" s="10"/>
      <c r="AXJ7" s="10"/>
      <c r="AXL7" s="10"/>
      <c r="AXW7" s="7"/>
      <c r="AXX7" s="10"/>
      <c r="AXY7" s="10"/>
      <c r="AXZ7" s="10"/>
      <c r="AYB7" s="10"/>
      <c r="AYM7" s="7"/>
      <c r="AYN7" s="10"/>
      <c r="AYO7" s="10"/>
      <c r="AYP7" s="10"/>
      <c r="AYR7" s="10"/>
      <c r="AZC7" s="7"/>
      <c r="AZD7" s="10"/>
      <c r="AZE7" s="10"/>
      <c r="AZF7" s="10"/>
      <c r="AZH7" s="10"/>
      <c r="AZS7" s="7"/>
      <c r="AZT7" s="10"/>
      <c r="AZU7" s="10"/>
      <c r="AZV7" s="10"/>
      <c r="AZX7" s="10"/>
      <c r="BAI7" s="7"/>
      <c r="BAJ7" s="10"/>
      <c r="BAK7" s="10"/>
      <c r="BAL7" s="10"/>
      <c r="BAN7" s="10"/>
      <c r="BAY7" s="7"/>
      <c r="BAZ7" s="10"/>
      <c r="BBA7" s="10"/>
      <c r="BBB7" s="10"/>
      <c r="BBD7" s="10"/>
      <c r="BBO7" s="7"/>
      <c r="BBP7" s="10"/>
      <c r="BBQ7" s="10"/>
      <c r="BBR7" s="10"/>
      <c r="BBT7" s="10"/>
      <c r="BCE7" s="7"/>
      <c r="BCF7" s="10"/>
      <c r="BCG7" s="10"/>
      <c r="BCH7" s="10"/>
      <c r="BCJ7" s="10"/>
      <c r="BCU7" s="7"/>
      <c r="BCV7" s="10"/>
      <c r="BCW7" s="10"/>
      <c r="BCX7" s="10"/>
      <c r="BCZ7" s="10"/>
      <c r="BDK7" s="7"/>
      <c r="BDL7" s="10"/>
      <c r="BDM7" s="10"/>
      <c r="BDN7" s="10"/>
      <c r="BDP7" s="10"/>
      <c r="BEA7" s="7"/>
      <c r="BEB7" s="10"/>
      <c r="BEC7" s="10"/>
      <c r="BED7" s="10"/>
      <c r="BEF7" s="10"/>
      <c r="BEQ7" s="7"/>
      <c r="BER7" s="10"/>
      <c r="BES7" s="10"/>
      <c r="BET7" s="10"/>
      <c r="BEV7" s="10"/>
      <c r="BFG7" s="7"/>
      <c r="BFH7" s="10"/>
      <c r="BFI7" s="10"/>
      <c r="BFJ7" s="10"/>
      <c r="BFL7" s="10"/>
      <c r="BFW7" s="7"/>
      <c r="BFX7" s="10"/>
      <c r="BFY7" s="10"/>
      <c r="BFZ7" s="10"/>
      <c r="BGB7" s="10"/>
      <c r="BGM7" s="7"/>
      <c r="BGN7" s="10"/>
      <c r="BGO7" s="10"/>
      <c r="BGP7" s="10"/>
      <c r="BGR7" s="10"/>
      <c r="BHC7" s="7"/>
      <c r="BHD7" s="10"/>
      <c r="BHE7" s="10"/>
      <c r="BHF7" s="10"/>
      <c r="BHH7" s="10"/>
      <c r="BHS7" s="7"/>
      <c r="BHT7" s="10"/>
      <c r="BHU7" s="10"/>
      <c r="BHV7" s="10"/>
      <c r="BHX7" s="10"/>
      <c r="BII7" s="7"/>
      <c r="BIJ7" s="10"/>
      <c r="BIK7" s="10"/>
      <c r="BIL7" s="10"/>
      <c r="BIN7" s="10"/>
      <c r="BIY7" s="7"/>
      <c r="BIZ7" s="10"/>
      <c r="BJA7" s="10"/>
      <c r="BJB7" s="10"/>
      <c r="BJD7" s="10"/>
      <c r="BJO7" s="7"/>
      <c r="BJP7" s="10"/>
      <c r="BJQ7" s="10"/>
      <c r="BJR7" s="10"/>
      <c r="BJT7" s="10"/>
      <c r="BKE7" s="7"/>
      <c r="BKF7" s="10"/>
      <c r="BKG7" s="10"/>
      <c r="BKH7" s="10"/>
      <c r="BKJ7" s="10"/>
      <c r="BKU7" s="7"/>
      <c r="BKV7" s="10"/>
      <c r="BKW7" s="10"/>
      <c r="BKX7" s="10"/>
      <c r="BKZ7" s="10"/>
      <c r="BLK7" s="7"/>
      <c r="BLL7" s="10"/>
      <c r="BLM7" s="10"/>
      <c r="BLN7" s="10"/>
      <c r="BLP7" s="10"/>
      <c r="BMA7" s="7"/>
      <c r="BMB7" s="10"/>
      <c r="BMC7" s="10"/>
      <c r="BMD7" s="10"/>
      <c r="BMF7" s="10"/>
      <c r="BMQ7" s="7"/>
      <c r="BMR7" s="10"/>
      <c r="BMS7" s="10"/>
      <c r="BMT7" s="10"/>
      <c r="BMV7" s="10"/>
      <c r="BNG7" s="7"/>
      <c r="BNH7" s="10"/>
      <c r="BNI7" s="10"/>
      <c r="BNJ7" s="10"/>
      <c r="BNL7" s="10"/>
      <c r="BNW7" s="7"/>
      <c r="BNX7" s="10"/>
      <c r="BNY7" s="10"/>
      <c r="BNZ7" s="10"/>
      <c r="BOB7" s="10"/>
      <c r="BOM7" s="7"/>
      <c r="BON7" s="10"/>
      <c r="BOO7" s="10"/>
      <c r="BOP7" s="10"/>
      <c r="BOR7" s="10"/>
      <c r="BPC7" s="7"/>
      <c r="BPD7" s="10"/>
      <c r="BPE7" s="10"/>
      <c r="BPF7" s="10"/>
      <c r="BPH7" s="10"/>
      <c r="BPS7" s="7"/>
      <c r="BPT7" s="10"/>
      <c r="BPU7" s="10"/>
      <c r="BPV7" s="10"/>
      <c r="BPX7" s="10"/>
      <c r="BQI7" s="7"/>
      <c r="BQJ7" s="10"/>
      <c r="BQK7" s="10"/>
      <c r="BQL7" s="10"/>
      <c r="BQN7" s="10"/>
      <c r="BQY7" s="7"/>
      <c r="BQZ7" s="10"/>
      <c r="BRA7" s="10"/>
      <c r="BRB7" s="10"/>
      <c r="BRD7" s="10"/>
      <c r="BRO7" s="7"/>
      <c r="BRP7" s="10"/>
      <c r="BRQ7" s="10"/>
      <c r="BRR7" s="10"/>
      <c r="BRT7" s="10"/>
      <c r="BSE7" s="7"/>
      <c r="BSF7" s="10"/>
      <c r="BSG7" s="10"/>
      <c r="BSH7" s="10"/>
      <c r="BSJ7" s="10"/>
      <c r="BSU7" s="7"/>
      <c r="BSV7" s="10"/>
      <c r="BSW7" s="10"/>
      <c r="BSX7" s="10"/>
      <c r="BSZ7" s="10"/>
      <c r="BTK7" s="7"/>
      <c r="BTL7" s="10"/>
      <c r="BTM7" s="10"/>
      <c r="BTN7" s="10"/>
      <c r="BTP7" s="10"/>
      <c r="BUA7" s="7"/>
      <c r="BUB7" s="10"/>
      <c r="BUC7" s="10"/>
      <c r="BUD7" s="10"/>
      <c r="BUF7" s="10"/>
      <c r="BUQ7" s="7"/>
      <c r="BUR7" s="10"/>
      <c r="BUS7" s="10"/>
      <c r="BUT7" s="10"/>
      <c r="BUV7" s="10"/>
      <c r="BVG7" s="7"/>
      <c r="BVH7" s="10"/>
      <c r="BVI7" s="10"/>
      <c r="BVJ7" s="10"/>
      <c r="BVL7" s="10"/>
      <c r="BVW7" s="7"/>
      <c r="BVX7" s="10"/>
      <c r="BVY7" s="10"/>
      <c r="BVZ7" s="10"/>
      <c r="BWB7" s="10"/>
      <c r="BWM7" s="7"/>
      <c r="BWN7" s="10"/>
      <c r="BWO7" s="10"/>
      <c r="BWP7" s="10"/>
      <c r="BWR7" s="10"/>
      <c r="BXC7" s="7"/>
      <c r="BXD7" s="10"/>
      <c r="BXE7" s="10"/>
      <c r="BXF7" s="10"/>
      <c r="BXH7" s="10"/>
      <c r="BXS7" s="7"/>
      <c r="BXT7" s="10"/>
      <c r="BXU7" s="10"/>
      <c r="BXV7" s="10"/>
      <c r="BXX7" s="10"/>
      <c r="BYI7" s="7"/>
      <c r="BYJ7" s="10"/>
      <c r="BYK7" s="10"/>
      <c r="BYL7" s="10"/>
      <c r="BYN7" s="10"/>
      <c r="BYY7" s="7"/>
      <c r="BYZ7" s="10"/>
      <c r="BZA7" s="10"/>
      <c r="BZB7" s="10"/>
      <c r="BZD7" s="10"/>
      <c r="BZO7" s="7"/>
      <c r="BZP7" s="10"/>
      <c r="BZQ7" s="10"/>
      <c r="BZR7" s="10"/>
      <c r="BZT7" s="10"/>
      <c r="CAE7" s="7"/>
      <c r="CAF7" s="10"/>
      <c r="CAG7" s="10"/>
      <c r="CAH7" s="10"/>
      <c r="CAJ7" s="10"/>
      <c r="CAU7" s="7"/>
      <c r="CAV7" s="10"/>
      <c r="CAW7" s="10"/>
      <c r="CAX7" s="10"/>
      <c r="CAZ7" s="10"/>
      <c r="CBK7" s="7"/>
      <c r="CBL7" s="10"/>
      <c r="CBM7" s="10"/>
      <c r="CBN7" s="10"/>
      <c r="CBP7" s="10"/>
      <c r="CCA7" s="7"/>
      <c r="CCB7" s="10"/>
      <c r="CCC7" s="10"/>
      <c r="CCD7" s="10"/>
      <c r="CCF7" s="10"/>
      <c r="CCQ7" s="7"/>
      <c r="CCR7" s="10"/>
      <c r="CCS7" s="10"/>
      <c r="CCT7" s="10"/>
      <c r="CCV7" s="10"/>
      <c r="CDG7" s="7"/>
      <c r="CDH7" s="10"/>
      <c r="CDI7" s="10"/>
      <c r="CDJ7" s="10"/>
      <c r="CDL7" s="10"/>
      <c r="CDW7" s="7"/>
      <c r="CDX7" s="10"/>
      <c r="CDY7" s="10"/>
      <c r="CDZ7" s="10"/>
      <c r="CEB7" s="10"/>
      <c r="CEM7" s="7"/>
      <c r="CEN7" s="10"/>
      <c r="CEO7" s="10"/>
      <c r="CEP7" s="10"/>
      <c r="CER7" s="10"/>
      <c r="CFC7" s="7"/>
      <c r="CFD7" s="10"/>
      <c r="CFE7" s="10"/>
      <c r="CFF7" s="10"/>
      <c r="CFH7" s="10"/>
      <c r="CFS7" s="7"/>
      <c r="CFT7" s="10"/>
      <c r="CFU7" s="10"/>
      <c r="CFV7" s="10"/>
      <c r="CFX7" s="10"/>
      <c r="CGI7" s="7"/>
      <c r="CGJ7" s="10"/>
      <c r="CGK7" s="10"/>
      <c r="CGL7" s="10"/>
      <c r="CGN7" s="10"/>
      <c r="CGY7" s="7"/>
      <c r="CGZ7" s="10"/>
      <c r="CHA7" s="10"/>
      <c r="CHB7" s="10"/>
      <c r="CHD7" s="10"/>
      <c r="CHO7" s="7"/>
      <c r="CHP7" s="10"/>
      <c r="CHQ7" s="10"/>
      <c r="CHR7" s="10"/>
      <c r="CHT7" s="10"/>
      <c r="CIE7" s="7"/>
      <c r="CIF7" s="10"/>
      <c r="CIG7" s="10"/>
      <c r="CIH7" s="10"/>
      <c r="CIJ7" s="10"/>
      <c r="CIU7" s="7"/>
      <c r="CIV7" s="10"/>
      <c r="CIW7" s="10"/>
      <c r="CIX7" s="10"/>
      <c r="CIZ7" s="10"/>
      <c r="CJK7" s="7"/>
      <c r="CJL7" s="10"/>
      <c r="CJM7" s="10"/>
      <c r="CJN7" s="10"/>
      <c r="CJP7" s="10"/>
      <c r="CKA7" s="7"/>
      <c r="CKB7" s="10"/>
      <c r="CKC7" s="10"/>
      <c r="CKD7" s="10"/>
      <c r="CKF7" s="10"/>
      <c r="CKQ7" s="7"/>
      <c r="CKR7" s="10"/>
      <c r="CKS7" s="10"/>
      <c r="CKT7" s="10"/>
      <c r="CKV7" s="10"/>
      <c r="CLG7" s="7"/>
      <c r="CLH7" s="10"/>
      <c r="CLI7" s="10"/>
      <c r="CLJ7" s="10"/>
      <c r="CLL7" s="10"/>
      <c r="CLW7" s="7"/>
      <c r="CLX7" s="10"/>
      <c r="CLY7" s="10"/>
      <c r="CLZ7" s="10"/>
      <c r="CMB7" s="10"/>
      <c r="CMM7" s="7"/>
      <c r="CMN7" s="10"/>
      <c r="CMO7" s="10"/>
      <c r="CMP7" s="10"/>
      <c r="CMR7" s="10"/>
      <c r="CNC7" s="7"/>
      <c r="CND7" s="10"/>
      <c r="CNE7" s="10"/>
      <c r="CNF7" s="10"/>
      <c r="CNH7" s="10"/>
      <c r="CNS7" s="7"/>
      <c r="CNT7" s="10"/>
      <c r="CNU7" s="10"/>
      <c r="CNV7" s="10"/>
      <c r="CNX7" s="10"/>
      <c r="COI7" s="7"/>
      <c r="COJ7" s="10"/>
      <c r="COK7" s="10"/>
      <c r="COL7" s="10"/>
      <c r="CON7" s="10"/>
      <c r="COY7" s="7"/>
      <c r="COZ7" s="10"/>
      <c r="CPA7" s="10"/>
      <c r="CPB7" s="10"/>
      <c r="CPD7" s="10"/>
      <c r="CPO7" s="7"/>
      <c r="CPP7" s="10"/>
      <c r="CPQ7" s="10"/>
      <c r="CPR7" s="10"/>
      <c r="CPT7" s="10"/>
      <c r="CQE7" s="7"/>
      <c r="CQF7" s="10"/>
      <c r="CQG7" s="10"/>
      <c r="CQH7" s="10"/>
      <c r="CQJ7" s="10"/>
      <c r="CQU7" s="7"/>
      <c r="CQV7" s="10"/>
      <c r="CQW7" s="10"/>
      <c r="CQX7" s="10"/>
      <c r="CQZ7" s="10"/>
      <c r="CRK7" s="7"/>
      <c r="CRL7" s="10"/>
      <c r="CRM7" s="10"/>
      <c r="CRN7" s="10"/>
      <c r="CRP7" s="10"/>
      <c r="CSA7" s="7"/>
      <c r="CSB7" s="10"/>
      <c r="CSC7" s="10"/>
      <c r="CSD7" s="10"/>
      <c r="CSF7" s="10"/>
      <c r="CSQ7" s="7"/>
      <c r="CSR7" s="10"/>
      <c r="CSS7" s="10"/>
      <c r="CST7" s="10"/>
      <c r="CSV7" s="10"/>
      <c r="CTG7" s="7"/>
      <c r="CTH7" s="10"/>
      <c r="CTI7" s="10"/>
      <c r="CTJ7" s="10"/>
      <c r="CTL7" s="10"/>
      <c r="CTW7" s="7"/>
      <c r="CTX7" s="10"/>
      <c r="CTY7" s="10"/>
      <c r="CTZ7" s="10"/>
      <c r="CUB7" s="10"/>
      <c r="CUM7" s="7"/>
      <c r="CUN7" s="10"/>
      <c r="CUO7" s="10"/>
      <c r="CUP7" s="10"/>
      <c r="CUR7" s="10"/>
      <c r="CVC7" s="7"/>
      <c r="CVD7" s="10"/>
      <c r="CVE7" s="10"/>
      <c r="CVF7" s="10"/>
      <c r="CVH7" s="10"/>
      <c r="CVS7" s="7"/>
      <c r="CVT7" s="10"/>
      <c r="CVU7" s="10"/>
      <c r="CVV7" s="10"/>
      <c r="CVX7" s="10"/>
      <c r="CWI7" s="7"/>
      <c r="CWJ7" s="10"/>
      <c r="CWK7" s="10"/>
      <c r="CWL7" s="10"/>
      <c r="CWN7" s="10"/>
      <c r="CWY7" s="7"/>
      <c r="CWZ7" s="10"/>
      <c r="CXA7" s="10"/>
      <c r="CXB7" s="10"/>
      <c r="CXD7" s="10"/>
      <c r="CXO7" s="7"/>
      <c r="CXP7" s="10"/>
      <c r="CXQ7" s="10"/>
      <c r="CXR7" s="10"/>
      <c r="CXT7" s="10"/>
      <c r="CYE7" s="7"/>
      <c r="CYF7" s="10"/>
      <c r="CYG7" s="10"/>
      <c r="CYH7" s="10"/>
      <c r="CYJ7" s="10"/>
      <c r="CYU7" s="7"/>
      <c r="CYV7" s="10"/>
      <c r="CYW7" s="10"/>
      <c r="CYX7" s="10"/>
      <c r="CYZ7" s="10"/>
      <c r="CZK7" s="7"/>
      <c r="CZL7" s="10"/>
      <c r="CZM7" s="10"/>
      <c r="CZN7" s="10"/>
      <c r="CZP7" s="10"/>
      <c r="DAA7" s="7"/>
      <c r="DAB7" s="10"/>
      <c r="DAC7" s="10"/>
      <c r="DAD7" s="10"/>
      <c r="DAF7" s="10"/>
      <c r="DAQ7" s="7"/>
      <c r="DAR7" s="10"/>
      <c r="DAS7" s="10"/>
      <c r="DAT7" s="10"/>
      <c r="DAV7" s="10"/>
      <c r="DBG7" s="7"/>
      <c r="DBH7" s="10"/>
      <c r="DBI7" s="10"/>
      <c r="DBJ7" s="10"/>
      <c r="DBL7" s="10"/>
      <c r="DBW7" s="7"/>
      <c r="DBX7" s="10"/>
      <c r="DBY7" s="10"/>
      <c r="DBZ7" s="10"/>
      <c r="DCB7" s="10"/>
      <c r="DCM7" s="7"/>
      <c r="DCN7" s="10"/>
      <c r="DCO7" s="10"/>
      <c r="DCP7" s="10"/>
      <c r="DCR7" s="10"/>
      <c r="DDC7" s="7"/>
      <c r="DDD7" s="10"/>
      <c r="DDE7" s="10"/>
      <c r="DDF7" s="10"/>
      <c r="DDH7" s="10"/>
      <c r="DDS7" s="7"/>
      <c r="DDT7" s="10"/>
      <c r="DDU7" s="10"/>
      <c r="DDV7" s="10"/>
      <c r="DDX7" s="10"/>
      <c r="DEI7" s="7"/>
      <c r="DEJ7" s="10"/>
      <c r="DEK7" s="10"/>
      <c r="DEL7" s="10"/>
      <c r="DEN7" s="10"/>
      <c r="DEY7" s="7"/>
      <c r="DEZ7" s="10"/>
      <c r="DFA7" s="10"/>
      <c r="DFB7" s="10"/>
      <c r="DFD7" s="10"/>
      <c r="DFO7" s="7"/>
      <c r="DFP7" s="10"/>
      <c r="DFQ7" s="10"/>
      <c r="DFR7" s="10"/>
      <c r="DFT7" s="10"/>
      <c r="DGE7" s="7"/>
      <c r="DGF7" s="10"/>
      <c r="DGG7" s="10"/>
      <c r="DGH7" s="10"/>
      <c r="DGJ7" s="10"/>
      <c r="DGU7" s="7"/>
      <c r="DGV7" s="10"/>
      <c r="DGW7" s="10"/>
      <c r="DGX7" s="10"/>
      <c r="DGZ7" s="10"/>
      <c r="DHK7" s="7"/>
      <c r="DHL7" s="10"/>
      <c r="DHM7" s="10"/>
      <c r="DHN7" s="10"/>
      <c r="DHP7" s="10"/>
      <c r="DIA7" s="7"/>
      <c r="DIB7" s="10"/>
      <c r="DIC7" s="10"/>
      <c r="DID7" s="10"/>
      <c r="DIF7" s="10"/>
      <c r="DIQ7" s="7"/>
      <c r="DIR7" s="10"/>
      <c r="DIS7" s="10"/>
      <c r="DIT7" s="10"/>
      <c r="DIV7" s="10"/>
      <c r="DJG7" s="7"/>
      <c r="DJH7" s="10"/>
      <c r="DJI7" s="10"/>
      <c r="DJJ7" s="10"/>
      <c r="DJL7" s="10"/>
      <c r="DJW7" s="7"/>
      <c r="DJX7" s="10"/>
      <c r="DJY7" s="10"/>
      <c r="DJZ7" s="10"/>
      <c r="DKB7" s="10"/>
      <c r="DKM7" s="7"/>
      <c r="DKN7" s="10"/>
      <c r="DKO7" s="10"/>
      <c r="DKP7" s="10"/>
      <c r="DKR7" s="10"/>
      <c r="DLC7" s="7"/>
      <c r="DLD7" s="10"/>
      <c r="DLE7" s="10"/>
      <c r="DLF7" s="10"/>
      <c r="DLH7" s="10"/>
      <c r="DLS7" s="7"/>
      <c r="DLT7" s="10"/>
      <c r="DLU7" s="10"/>
      <c r="DLV7" s="10"/>
      <c r="DLX7" s="10"/>
      <c r="DMI7" s="7"/>
      <c r="DMJ7" s="10"/>
      <c r="DMK7" s="10"/>
      <c r="DML7" s="10"/>
      <c r="DMN7" s="10"/>
      <c r="DMY7" s="7"/>
      <c r="DMZ7" s="10"/>
      <c r="DNA7" s="10"/>
      <c r="DNB7" s="10"/>
      <c r="DND7" s="10"/>
      <c r="DNO7" s="7"/>
      <c r="DNP7" s="10"/>
      <c r="DNQ7" s="10"/>
      <c r="DNR7" s="10"/>
      <c r="DNT7" s="10"/>
      <c r="DOE7" s="7"/>
      <c r="DOF7" s="10"/>
      <c r="DOG7" s="10"/>
      <c r="DOH7" s="10"/>
      <c r="DOJ7" s="10"/>
      <c r="DOU7" s="7"/>
      <c r="DOV7" s="10"/>
      <c r="DOW7" s="10"/>
      <c r="DOX7" s="10"/>
      <c r="DOZ7" s="10"/>
      <c r="DPK7" s="7"/>
      <c r="DPL7" s="10"/>
      <c r="DPM7" s="10"/>
      <c r="DPN7" s="10"/>
      <c r="DPP7" s="10"/>
      <c r="DQA7" s="7"/>
      <c r="DQB7" s="10"/>
      <c r="DQC7" s="10"/>
      <c r="DQD7" s="10"/>
      <c r="DQF7" s="10"/>
      <c r="DQQ7" s="7"/>
      <c r="DQR7" s="10"/>
      <c r="DQS7" s="10"/>
      <c r="DQT7" s="10"/>
      <c r="DQV7" s="10"/>
      <c r="DRG7" s="7"/>
      <c r="DRH7" s="10"/>
      <c r="DRI7" s="10"/>
      <c r="DRJ7" s="10"/>
      <c r="DRL7" s="10"/>
      <c r="DRW7" s="7"/>
      <c r="DRX7" s="10"/>
      <c r="DRY7" s="10"/>
      <c r="DRZ7" s="10"/>
      <c r="DSB7" s="10"/>
      <c r="DSM7" s="7"/>
      <c r="DSN7" s="10"/>
      <c r="DSO7" s="10"/>
      <c r="DSP7" s="10"/>
      <c r="DSR7" s="10"/>
      <c r="DTC7" s="7"/>
      <c r="DTD7" s="10"/>
      <c r="DTE7" s="10"/>
      <c r="DTF7" s="10"/>
      <c r="DTH7" s="10"/>
      <c r="DTS7" s="7"/>
      <c r="DTT7" s="10"/>
      <c r="DTU7" s="10"/>
      <c r="DTV7" s="10"/>
      <c r="DTX7" s="10"/>
      <c r="DUI7" s="7"/>
      <c r="DUJ7" s="10"/>
      <c r="DUK7" s="10"/>
      <c r="DUL7" s="10"/>
      <c r="DUN7" s="10"/>
      <c r="DUY7" s="7"/>
      <c r="DUZ7" s="10"/>
      <c r="DVA7" s="10"/>
      <c r="DVB7" s="10"/>
      <c r="DVD7" s="10"/>
      <c r="DVO7" s="7"/>
      <c r="DVP7" s="10"/>
      <c r="DVQ7" s="10"/>
      <c r="DVR7" s="10"/>
      <c r="DVT7" s="10"/>
      <c r="DWE7" s="7"/>
      <c r="DWF7" s="10"/>
      <c r="DWG7" s="10"/>
      <c r="DWH7" s="10"/>
      <c r="DWJ7" s="10"/>
      <c r="DWU7" s="7"/>
      <c r="DWV7" s="10"/>
      <c r="DWW7" s="10"/>
      <c r="DWX7" s="10"/>
      <c r="DWZ7" s="10"/>
      <c r="DXK7" s="7"/>
      <c r="DXL7" s="10"/>
      <c r="DXM7" s="10"/>
      <c r="DXN7" s="10"/>
      <c r="DXP7" s="10"/>
      <c r="DYA7" s="7"/>
      <c r="DYB7" s="10"/>
      <c r="DYC7" s="10"/>
      <c r="DYD7" s="10"/>
      <c r="DYF7" s="10"/>
      <c r="DYQ7" s="7"/>
      <c r="DYR7" s="10"/>
      <c r="DYS7" s="10"/>
      <c r="DYT7" s="10"/>
      <c r="DYV7" s="10"/>
      <c r="DZG7" s="7"/>
      <c r="DZH7" s="10"/>
      <c r="DZI7" s="10"/>
      <c r="DZJ7" s="10"/>
      <c r="DZL7" s="10"/>
      <c r="DZW7" s="7"/>
      <c r="DZX7" s="10"/>
      <c r="DZY7" s="10"/>
      <c r="DZZ7" s="10"/>
      <c r="EAB7" s="10"/>
      <c r="EAM7" s="7"/>
      <c r="EAN7" s="10"/>
      <c r="EAO7" s="10"/>
      <c r="EAP7" s="10"/>
      <c r="EAR7" s="10"/>
      <c r="EBC7" s="7"/>
      <c r="EBD7" s="10"/>
      <c r="EBE7" s="10"/>
      <c r="EBF7" s="10"/>
      <c r="EBH7" s="10"/>
      <c r="EBS7" s="7"/>
      <c r="EBT7" s="10"/>
      <c r="EBU7" s="10"/>
      <c r="EBV7" s="10"/>
      <c r="EBX7" s="10"/>
      <c r="ECI7" s="7"/>
      <c r="ECJ7" s="10"/>
      <c r="ECK7" s="10"/>
      <c r="ECL7" s="10"/>
      <c r="ECN7" s="10"/>
      <c r="ECY7" s="7"/>
      <c r="ECZ7" s="10"/>
      <c r="EDA7" s="10"/>
      <c r="EDB7" s="10"/>
      <c r="EDD7" s="10"/>
      <c r="EDO7" s="7"/>
      <c r="EDP7" s="10"/>
      <c r="EDQ7" s="10"/>
      <c r="EDR7" s="10"/>
      <c r="EDT7" s="10"/>
      <c r="EEE7" s="7"/>
      <c r="EEF7" s="10"/>
      <c r="EEG7" s="10"/>
      <c r="EEH7" s="10"/>
      <c r="EEJ7" s="10"/>
      <c r="EEU7" s="7"/>
      <c r="EEV7" s="10"/>
      <c r="EEW7" s="10"/>
      <c r="EEX7" s="10"/>
      <c r="EEZ7" s="10"/>
      <c r="EFK7" s="7"/>
      <c r="EFL7" s="10"/>
      <c r="EFM7" s="10"/>
      <c r="EFN7" s="10"/>
      <c r="EFP7" s="10"/>
      <c r="EGA7" s="7"/>
      <c r="EGB7" s="10"/>
      <c r="EGC7" s="10"/>
      <c r="EGD7" s="10"/>
      <c r="EGF7" s="10"/>
      <c r="EGQ7" s="7"/>
      <c r="EGR7" s="10"/>
      <c r="EGS7" s="10"/>
      <c r="EGT7" s="10"/>
      <c r="EGV7" s="10"/>
      <c r="EHG7" s="7"/>
      <c r="EHH7" s="10"/>
      <c r="EHI7" s="10"/>
      <c r="EHJ7" s="10"/>
      <c r="EHL7" s="10"/>
      <c r="EHW7" s="7"/>
      <c r="EHX7" s="10"/>
      <c r="EHY7" s="10"/>
      <c r="EHZ7" s="10"/>
      <c r="EIB7" s="10"/>
      <c r="EIM7" s="7"/>
      <c r="EIN7" s="10"/>
      <c r="EIO7" s="10"/>
      <c r="EIP7" s="10"/>
      <c r="EIR7" s="10"/>
      <c r="EJC7" s="7"/>
      <c r="EJD7" s="10"/>
      <c r="EJE7" s="10"/>
      <c r="EJF7" s="10"/>
      <c r="EJH7" s="10"/>
      <c r="EJS7" s="7"/>
      <c r="EJT7" s="10"/>
      <c r="EJU7" s="10"/>
      <c r="EJV7" s="10"/>
      <c r="EJX7" s="10"/>
      <c r="EKI7" s="7"/>
      <c r="EKJ7" s="10"/>
      <c r="EKK7" s="10"/>
      <c r="EKL7" s="10"/>
      <c r="EKN7" s="10"/>
      <c r="EKY7" s="7"/>
      <c r="EKZ7" s="10"/>
      <c r="ELA7" s="10"/>
      <c r="ELB7" s="10"/>
      <c r="ELD7" s="10"/>
      <c r="ELO7" s="7"/>
      <c r="ELP7" s="10"/>
      <c r="ELQ7" s="10"/>
      <c r="ELR7" s="10"/>
      <c r="ELT7" s="10"/>
      <c r="EME7" s="7"/>
      <c r="EMF7" s="10"/>
      <c r="EMG7" s="10"/>
      <c r="EMH7" s="10"/>
      <c r="EMJ7" s="10"/>
      <c r="EMU7" s="7"/>
      <c r="EMV7" s="10"/>
      <c r="EMW7" s="10"/>
      <c r="EMX7" s="10"/>
      <c r="EMZ7" s="10"/>
      <c r="ENK7" s="7"/>
      <c r="ENL7" s="10"/>
      <c r="ENM7" s="10"/>
      <c r="ENN7" s="10"/>
      <c r="ENP7" s="10"/>
      <c r="EOA7" s="7"/>
      <c r="EOB7" s="10"/>
      <c r="EOC7" s="10"/>
      <c r="EOD7" s="10"/>
      <c r="EOF7" s="10"/>
      <c r="EOQ7" s="7"/>
      <c r="EOR7" s="10"/>
      <c r="EOS7" s="10"/>
      <c r="EOT7" s="10"/>
      <c r="EOV7" s="10"/>
      <c r="EPG7" s="7"/>
      <c r="EPH7" s="10"/>
      <c r="EPI7" s="10"/>
      <c r="EPJ7" s="10"/>
      <c r="EPL7" s="10"/>
      <c r="EPW7" s="7"/>
      <c r="EPX7" s="10"/>
      <c r="EPY7" s="10"/>
      <c r="EPZ7" s="10"/>
      <c r="EQB7" s="10"/>
      <c r="EQM7" s="7"/>
      <c r="EQN7" s="10"/>
      <c r="EQO7" s="10"/>
      <c r="EQP7" s="10"/>
      <c r="EQR7" s="10"/>
      <c r="ERC7" s="7"/>
      <c r="ERD7" s="10"/>
      <c r="ERE7" s="10"/>
      <c r="ERF7" s="10"/>
      <c r="ERH7" s="10"/>
      <c r="ERS7" s="7"/>
      <c r="ERT7" s="10"/>
      <c r="ERU7" s="10"/>
      <c r="ERV7" s="10"/>
      <c r="ERX7" s="10"/>
      <c r="ESI7" s="7"/>
      <c r="ESJ7" s="10"/>
      <c r="ESK7" s="10"/>
      <c r="ESL7" s="10"/>
      <c r="ESN7" s="10"/>
      <c r="ESY7" s="7"/>
      <c r="ESZ7" s="10"/>
      <c r="ETA7" s="10"/>
      <c r="ETB7" s="10"/>
      <c r="ETD7" s="10"/>
      <c r="ETO7" s="7"/>
      <c r="ETP7" s="10"/>
      <c r="ETQ7" s="10"/>
      <c r="ETR7" s="10"/>
      <c r="ETT7" s="10"/>
      <c r="EUE7" s="7"/>
      <c r="EUF7" s="10"/>
      <c r="EUG7" s="10"/>
      <c r="EUH7" s="10"/>
      <c r="EUJ7" s="10"/>
      <c r="EUU7" s="7"/>
      <c r="EUV7" s="10"/>
      <c r="EUW7" s="10"/>
      <c r="EUX7" s="10"/>
      <c r="EUZ7" s="10"/>
      <c r="EVK7" s="7"/>
      <c r="EVL7" s="10"/>
      <c r="EVM7" s="10"/>
      <c r="EVN7" s="10"/>
      <c r="EVP7" s="10"/>
      <c r="EWA7" s="7"/>
      <c r="EWB7" s="10"/>
      <c r="EWC7" s="10"/>
      <c r="EWD7" s="10"/>
      <c r="EWF7" s="10"/>
      <c r="EWQ7" s="7"/>
      <c r="EWR7" s="10"/>
      <c r="EWS7" s="10"/>
      <c r="EWT7" s="10"/>
      <c r="EWV7" s="10"/>
      <c r="EXG7" s="7"/>
      <c r="EXH7" s="10"/>
      <c r="EXI7" s="10"/>
      <c r="EXJ7" s="10"/>
      <c r="EXL7" s="10"/>
      <c r="EXW7" s="7"/>
      <c r="EXX7" s="10"/>
      <c r="EXY7" s="10"/>
      <c r="EXZ7" s="10"/>
      <c r="EYB7" s="10"/>
      <c r="EYM7" s="7"/>
      <c r="EYN7" s="10"/>
      <c r="EYO7" s="10"/>
      <c r="EYP7" s="10"/>
      <c r="EYR7" s="10"/>
      <c r="EZC7" s="7"/>
      <c r="EZD7" s="10"/>
      <c r="EZE7" s="10"/>
      <c r="EZF7" s="10"/>
      <c r="EZH7" s="10"/>
      <c r="EZS7" s="7"/>
      <c r="EZT7" s="10"/>
      <c r="EZU7" s="10"/>
      <c r="EZV7" s="10"/>
      <c r="EZX7" s="10"/>
      <c r="FAI7" s="7"/>
      <c r="FAJ7" s="10"/>
      <c r="FAK7" s="10"/>
      <c r="FAL7" s="10"/>
      <c r="FAN7" s="10"/>
      <c r="FAY7" s="7"/>
      <c r="FAZ7" s="10"/>
      <c r="FBA7" s="10"/>
      <c r="FBB7" s="10"/>
      <c r="FBD7" s="10"/>
      <c r="FBO7" s="7"/>
      <c r="FBP7" s="10"/>
      <c r="FBQ7" s="10"/>
      <c r="FBR7" s="10"/>
      <c r="FBT7" s="10"/>
      <c r="FCE7" s="7"/>
      <c r="FCF7" s="10"/>
      <c r="FCG7" s="10"/>
      <c r="FCH7" s="10"/>
      <c r="FCJ7" s="10"/>
      <c r="FCU7" s="7"/>
      <c r="FCV7" s="10"/>
      <c r="FCW7" s="10"/>
      <c r="FCX7" s="10"/>
      <c r="FCZ7" s="10"/>
      <c r="FDK7" s="7"/>
      <c r="FDL7" s="10"/>
      <c r="FDM7" s="10"/>
      <c r="FDN7" s="10"/>
      <c r="FDP7" s="10"/>
      <c r="FEA7" s="7"/>
      <c r="FEB7" s="10"/>
      <c r="FEC7" s="10"/>
      <c r="FED7" s="10"/>
      <c r="FEF7" s="10"/>
      <c r="FEQ7" s="7"/>
      <c r="FER7" s="10"/>
      <c r="FES7" s="10"/>
      <c r="FET7" s="10"/>
      <c r="FEV7" s="10"/>
      <c r="FFG7" s="7"/>
      <c r="FFH7" s="10"/>
      <c r="FFI7" s="10"/>
      <c r="FFJ7" s="10"/>
      <c r="FFL7" s="10"/>
      <c r="FFW7" s="7"/>
      <c r="FFX7" s="10"/>
      <c r="FFY7" s="10"/>
      <c r="FFZ7" s="10"/>
      <c r="FGB7" s="10"/>
      <c r="FGM7" s="7"/>
      <c r="FGN7" s="10"/>
      <c r="FGO7" s="10"/>
      <c r="FGP7" s="10"/>
      <c r="FGR7" s="10"/>
      <c r="FHC7" s="7"/>
      <c r="FHD7" s="10"/>
      <c r="FHE7" s="10"/>
      <c r="FHF7" s="10"/>
      <c r="FHH7" s="10"/>
      <c r="FHS7" s="7"/>
      <c r="FHT7" s="10"/>
      <c r="FHU7" s="10"/>
      <c r="FHV7" s="10"/>
      <c r="FHX7" s="10"/>
      <c r="FII7" s="7"/>
      <c r="FIJ7" s="10"/>
      <c r="FIK7" s="10"/>
      <c r="FIL7" s="10"/>
      <c r="FIN7" s="10"/>
      <c r="FIY7" s="7"/>
      <c r="FIZ7" s="10"/>
      <c r="FJA7" s="10"/>
      <c r="FJB7" s="10"/>
      <c r="FJD7" s="10"/>
      <c r="FJO7" s="7"/>
      <c r="FJP7" s="10"/>
      <c r="FJQ7" s="10"/>
      <c r="FJR7" s="10"/>
      <c r="FJT7" s="10"/>
      <c r="FKE7" s="7"/>
      <c r="FKF7" s="10"/>
      <c r="FKG7" s="10"/>
      <c r="FKH7" s="10"/>
      <c r="FKJ7" s="10"/>
      <c r="FKU7" s="7"/>
      <c r="FKV7" s="10"/>
      <c r="FKW7" s="10"/>
      <c r="FKX7" s="10"/>
      <c r="FKZ7" s="10"/>
      <c r="FLK7" s="7"/>
      <c r="FLL7" s="10"/>
      <c r="FLM7" s="10"/>
      <c r="FLN7" s="10"/>
      <c r="FLP7" s="10"/>
      <c r="FMA7" s="7"/>
      <c r="FMB7" s="10"/>
      <c r="FMC7" s="10"/>
      <c r="FMD7" s="10"/>
      <c r="FMF7" s="10"/>
      <c r="FMQ7" s="7"/>
      <c r="FMR7" s="10"/>
      <c r="FMS7" s="10"/>
      <c r="FMT7" s="10"/>
      <c r="FMV7" s="10"/>
      <c r="FNG7" s="7"/>
      <c r="FNH7" s="10"/>
      <c r="FNI7" s="10"/>
      <c r="FNJ7" s="10"/>
      <c r="FNL7" s="10"/>
      <c r="FNW7" s="7"/>
      <c r="FNX7" s="10"/>
      <c r="FNY7" s="10"/>
      <c r="FNZ7" s="10"/>
      <c r="FOB7" s="10"/>
      <c r="FOM7" s="7"/>
      <c r="FON7" s="10"/>
      <c r="FOO7" s="10"/>
      <c r="FOP7" s="10"/>
      <c r="FOR7" s="10"/>
      <c r="FPC7" s="7"/>
      <c r="FPD7" s="10"/>
      <c r="FPE7" s="10"/>
      <c r="FPF7" s="10"/>
      <c r="FPH7" s="10"/>
      <c r="FPS7" s="7"/>
      <c r="FPT7" s="10"/>
      <c r="FPU7" s="10"/>
      <c r="FPV7" s="10"/>
      <c r="FPX7" s="10"/>
      <c r="FQI7" s="7"/>
      <c r="FQJ7" s="10"/>
      <c r="FQK7" s="10"/>
      <c r="FQL7" s="10"/>
      <c r="FQN7" s="10"/>
      <c r="FQY7" s="7"/>
      <c r="FQZ7" s="10"/>
      <c r="FRA7" s="10"/>
      <c r="FRB7" s="10"/>
      <c r="FRD7" s="10"/>
      <c r="FRO7" s="7"/>
      <c r="FRP7" s="10"/>
      <c r="FRQ7" s="10"/>
      <c r="FRR7" s="10"/>
      <c r="FRT7" s="10"/>
      <c r="FSE7" s="7"/>
      <c r="FSF7" s="10"/>
      <c r="FSG7" s="10"/>
      <c r="FSH7" s="10"/>
      <c r="FSJ7" s="10"/>
      <c r="FSU7" s="7"/>
      <c r="FSV7" s="10"/>
      <c r="FSW7" s="10"/>
      <c r="FSX7" s="10"/>
      <c r="FSZ7" s="10"/>
      <c r="FTK7" s="7"/>
      <c r="FTL7" s="10"/>
      <c r="FTM7" s="10"/>
      <c r="FTN7" s="10"/>
      <c r="FTP7" s="10"/>
      <c r="FUA7" s="7"/>
      <c r="FUB7" s="10"/>
      <c r="FUC7" s="10"/>
      <c r="FUD7" s="10"/>
      <c r="FUF7" s="10"/>
      <c r="FUQ7" s="7"/>
      <c r="FUR7" s="10"/>
      <c r="FUS7" s="10"/>
      <c r="FUT7" s="10"/>
      <c r="FUV7" s="10"/>
      <c r="FVG7" s="7"/>
      <c r="FVH7" s="10"/>
      <c r="FVI7" s="10"/>
      <c r="FVJ7" s="10"/>
      <c r="FVL7" s="10"/>
      <c r="FVW7" s="7"/>
      <c r="FVX7" s="10"/>
      <c r="FVY7" s="10"/>
      <c r="FVZ7" s="10"/>
      <c r="FWB7" s="10"/>
      <c r="FWM7" s="7"/>
      <c r="FWN7" s="10"/>
      <c r="FWO7" s="10"/>
      <c r="FWP7" s="10"/>
      <c r="FWR7" s="10"/>
      <c r="FXC7" s="7"/>
      <c r="FXD7" s="10"/>
      <c r="FXE7" s="10"/>
      <c r="FXF7" s="10"/>
      <c r="FXH7" s="10"/>
      <c r="FXS7" s="7"/>
      <c r="FXT7" s="10"/>
      <c r="FXU7" s="10"/>
      <c r="FXV7" s="10"/>
      <c r="FXX7" s="10"/>
      <c r="FYI7" s="7"/>
      <c r="FYJ7" s="10"/>
      <c r="FYK7" s="10"/>
      <c r="FYL7" s="10"/>
      <c r="FYN7" s="10"/>
      <c r="FYY7" s="7"/>
      <c r="FYZ7" s="10"/>
      <c r="FZA7" s="10"/>
      <c r="FZB7" s="10"/>
      <c r="FZD7" s="10"/>
      <c r="FZO7" s="7"/>
      <c r="FZP7" s="10"/>
      <c r="FZQ7" s="10"/>
      <c r="FZR7" s="10"/>
      <c r="FZT7" s="10"/>
      <c r="GAE7" s="7"/>
      <c r="GAF7" s="10"/>
      <c r="GAG7" s="10"/>
      <c r="GAH7" s="10"/>
      <c r="GAJ7" s="10"/>
      <c r="GAU7" s="7"/>
      <c r="GAV7" s="10"/>
      <c r="GAW7" s="10"/>
      <c r="GAX7" s="10"/>
      <c r="GAZ7" s="10"/>
      <c r="GBK7" s="7"/>
      <c r="GBL7" s="10"/>
      <c r="GBM7" s="10"/>
      <c r="GBN7" s="10"/>
      <c r="GBP7" s="10"/>
      <c r="GCA7" s="7"/>
      <c r="GCB7" s="10"/>
      <c r="GCC7" s="10"/>
      <c r="GCD7" s="10"/>
      <c r="GCF7" s="10"/>
      <c r="GCQ7" s="7"/>
      <c r="GCR7" s="10"/>
      <c r="GCS7" s="10"/>
      <c r="GCT7" s="10"/>
      <c r="GCV7" s="10"/>
      <c r="GDG7" s="7"/>
      <c r="GDH7" s="10"/>
      <c r="GDI7" s="10"/>
      <c r="GDJ7" s="10"/>
      <c r="GDL7" s="10"/>
      <c r="GDW7" s="7"/>
      <c r="GDX7" s="10"/>
      <c r="GDY7" s="10"/>
      <c r="GDZ7" s="10"/>
      <c r="GEB7" s="10"/>
      <c r="GEM7" s="7"/>
      <c r="GEN7" s="10"/>
      <c r="GEO7" s="10"/>
      <c r="GEP7" s="10"/>
      <c r="GER7" s="10"/>
      <c r="GFC7" s="7"/>
      <c r="GFD7" s="10"/>
      <c r="GFE7" s="10"/>
      <c r="GFF7" s="10"/>
      <c r="GFH7" s="10"/>
      <c r="GFS7" s="7"/>
      <c r="GFT7" s="10"/>
      <c r="GFU7" s="10"/>
      <c r="GFV7" s="10"/>
      <c r="GFX7" s="10"/>
      <c r="GGI7" s="7"/>
      <c r="GGJ7" s="10"/>
      <c r="GGK7" s="10"/>
      <c r="GGL7" s="10"/>
      <c r="GGN7" s="10"/>
      <c r="GGY7" s="7"/>
      <c r="GGZ7" s="10"/>
      <c r="GHA7" s="10"/>
      <c r="GHB7" s="10"/>
      <c r="GHD7" s="10"/>
      <c r="GHO7" s="7"/>
      <c r="GHP7" s="10"/>
      <c r="GHQ7" s="10"/>
      <c r="GHR7" s="10"/>
      <c r="GHT7" s="10"/>
      <c r="GIE7" s="7"/>
      <c r="GIF7" s="10"/>
      <c r="GIG7" s="10"/>
      <c r="GIH7" s="10"/>
      <c r="GIJ7" s="10"/>
      <c r="GIU7" s="7"/>
      <c r="GIV7" s="10"/>
      <c r="GIW7" s="10"/>
      <c r="GIX7" s="10"/>
      <c r="GIZ7" s="10"/>
      <c r="GJK7" s="7"/>
      <c r="GJL7" s="10"/>
      <c r="GJM7" s="10"/>
      <c r="GJN7" s="10"/>
      <c r="GJP7" s="10"/>
      <c r="GKA7" s="7"/>
      <c r="GKB7" s="10"/>
      <c r="GKC7" s="10"/>
      <c r="GKD7" s="10"/>
      <c r="GKF7" s="10"/>
      <c r="GKQ7" s="7"/>
      <c r="GKR7" s="10"/>
      <c r="GKS7" s="10"/>
      <c r="GKT7" s="10"/>
      <c r="GKV7" s="10"/>
      <c r="GLG7" s="7"/>
      <c r="GLH7" s="10"/>
      <c r="GLI7" s="10"/>
      <c r="GLJ7" s="10"/>
      <c r="GLL7" s="10"/>
      <c r="GLW7" s="7"/>
      <c r="GLX7" s="10"/>
      <c r="GLY7" s="10"/>
      <c r="GLZ7" s="10"/>
      <c r="GMB7" s="10"/>
      <c r="GMM7" s="7"/>
      <c r="GMN7" s="10"/>
      <c r="GMO7" s="10"/>
      <c r="GMP7" s="10"/>
      <c r="GMR7" s="10"/>
      <c r="GNC7" s="7"/>
      <c r="GND7" s="10"/>
      <c r="GNE7" s="10"/>
      <c r="GNF7" s="10"/>
      <c r="GNH7" s="10"/>
      <c r="GNS7" s="7"/>
      <c r="GNT7" s="10"/>
      <c r="GNU7" s="10"/>
      <c r="GNV7" s="10"/>
      <c r="GNX7" s="10"/>
      <c r="GOI7" s="7"/>
      <c r="GOJ7" s="10"/>
      <c r="GOK7" s="10"/>
      <c r="GOL7" s="10"/>
      <c r="GON7" s="10"/>
      <c r="GOY7" s="7"/>
      <c r="GOZ7" s="10"/>
      <c r="GPA7" s="10"/>
      <c r="GPB7" s="10"/>
      <c r="GPD7" s="10"/>
      <c r="GPO7" s="7"/>
      <c r="GPP7" s="10"/>
      <c r="GPQ7" s="10"/>
      <c r="GPR7" s="10"/>
      <c r="GPT7" s="10"/>
      <c r="GQE7" s="7"/>
      <c r="GQF7" s="10"/>
      <c r="GQG7" s="10"/>
      <c r="GQH7" s="10"/>
      <c r="GQJ7" s="10"/>
      <c r="GQU7" s="7"/>
      <c r="GQV7" s="10"/>
      <c r="GQW7" s="10"/>
      <c r="GQX7" s="10"/>
      <c r="GQZ7" s="10"/>
      <c r="GRK7" s="7"/>
      <c r="GRL7" s="10"/>
      <c r="GRM7" s="10"/>
      <c r="GRN7" s="10"/>
      <c r="GRP7" s="10"/>
      <c r="GSA7" s="7"/>
      <c r="GSB7" s="10"/>
      <c r="GSC7" s="10"/>
      <c r="GSD7" s="10"/>
      <c r="GSF7" s="10"/>
      <c r="GSQ7" s="7"/>
      <c r="GSR7" s="10"/>
      <c r="GSS7" s="10"/>
      <c r="GST7" s="10"/>
      <c r="GSV7" s="10"/>
      <c r="GTG7" s="7"/>
      <c r="GTH7" s="10"/>
      <c r="GTI7" s="10"/>
      <c r="GTJ7" s="10"/>
      <c r="GTL7" s="10"/>
      <c r="GTW7" s="7"/>
      <c r="GTX7" s="10"/>
      <c r="GTY7" s="10"/>
      <c r="GTZ7" s="10"/>
      <c r="GUB7" s="10"/>
      <c r="GUM7" s="7"/>
      <c r="GUN7" s="10"/>
      <c r="GUO7" s="10"/>
      <c r="GUP7" s="10"/>
      <c r="GUR7" s="10"/>
      <c r="GVC7" s="7"/>
      <c r="GVD7" s="10"/>
      <c r="GVE7" s="10"/>
      <c r="GVF7" s="10"/>
      <c r="GVH7" s="10"/>
      <c r="GVS7" s="7"/>
      <c r="GVT7" s="10"/>
      <c r="GVU7" s="10"/>
      <c r="GVV7" s="10"/>
      <c r="GVX7" s="10"/>
      <c r="GWI7" s="7"/>
      <c r="GWJ7" s="10"/>
      <c r="GWK7" s="10"/>
      <c r="GWL7" s="10"/>
      <c r="GWN7" s="10"/>
      <c r="GWY7" s="7"/>
      <c r="GWZ7" s="10"/>
      <c r="GXA7" s="10"/>
      <c r="GXB7" s="10"/>
      <c r="GXD7" s="10"/>
      <c r="GXO7" s="7"/>
      <c r="GXP7" s="10"/>
      <c r="GXQ7" s="10"/>
      <c r="GXR7" s="10"/>
      <c r="GXT7" s="10"/>
      <c r="GYE7" s="7"/>
      <c r="GYF7" s="10"/>
      <c r="GYG7" s="10"/>
      <c r="GYH7" s="10"/>
      <c r="GYJ7" s="10"/>
      <c r="GYU7" s="7"/>
      <c r="GYV7" s="10"/>
      <c r="GYW7" s="10"/>
      <c r="GYX7" s="10"/>
      <c r="GYZ7" s="10"/>
      <c r="GZK7" s="7"/>
      <c r="GZL7" s="10"/>
      <c r="GZM7" s="10"/>
      <c r="GZN7" s="10"/>
      <c r="GZP7" s="10"/>
      <c r="HAA7" s="7"/>
      <c r="HAB7" s="10"/>
      <c r="HAC7" s="10"/>
      <c r="HAD7" s="10"/>
      <c r="HAF7" s="10"/>
      <c r="HAQ7" s="7"/>
      <c r="HAR7" s="10"/>
      <c r="HAS7" s="10"/>
      <c r="HAT7" s="10"/>
      <c r="HAV7" s="10"/>
      <c r="HBG7" s="7"/>
      <c r="HBH7" s="10"/>
      <c r="HBI7" s="10"/>
      <c r="HBJ7" s="10"/>
      <c r="HBL7" s="10"/>
      <c r="HBW7" s="7"/>
      <c r="HBX7" s="10"/>
      <c r="HBY7" s="10"/>
      <c r="HBZ7" s="10"/>
      <c r="HCB7" s="10"/>
      <c r="HCM7" s="7"/>
      <c r="HCN7" s="10"/>
      <c r="HCO7" s="10"/>
      <c r="HCP7" s="10"/>
      <c r="HCR7" s="10"/>
      <c r="HDC7" s="7"/>
      <c r="HDD7" s="10"/>
      <c r="HDE7" s="10"/>
      <c r="HDF7" s="10"/>
      <c r="HDH7" s="10"/>
      <c r="HDS7" s="7"/>
      <c r="HDT7" s="10"/>
      <c r="HDU7" s="10"/>
      <c r="HDV7" s="10"/>
      <c r="HDX7" s="10"/>
      <c r="HEI7" s="7"/>
      <c r="HEJ7" s="10"/>
      <c r="HEK7" s="10"/>
      <c r="HEL7" s="10"/>
      <c r="HEN7" s="10"/>
      <c r="HEY7" s="7"/>
      <c r="HEZ7" s="10"/>
      <c r="HFA7" s="10"/>
      <c r="HFB7" s="10"/>
      <c r="HFD7" s="10"/>
      <c r="HFO7" s="7"/>
      <c r="HFP7" s="10"/>
      <c r="HFQ7" s="10"/>
      <c r="HFR7" s="10"/>
      <c r="HFT7" s="10"/>
      <c r="HGE7" s="7"/>
      <c r="HGF7" s="10"/>
      <c r="HGG7" s="10"/>
      <c r="HGH7" s="10"/>
      <c r="HGJ7" s="10"/>
      <c r="HGU7" s="7"/>
      <c r="HGV7" s="10"/>
      <c r="HGW7" s="10"/>
      <c r="HGX7" s="10"/>
      <c r="HGZ7" s="10"/>
      <c r="HHK7" s="7"/>
      <c r="HHL7" s="10"/>
      <c r="HHM7" s="10"/>
      <c r="HHN7" s="10"/>
      <c r="HHP7" s="10"/>
      <c r="HIA7" s="7"/>
      <c r="HIB7" s="10"/>
      <c r="HIC7" s="10"/>
      <c r="HID7" s="10"/>
      <c r="HIF7" s="10"/>
      <c r="HIQ7" s="7"/>
      <c r="HIR7" s="10"/>
      <c r="HIS7" s="10"/>
      <c r="HIT7" s="10"/>
      <c r="HIV7" s="10"/>
      <c r="HJG7" s="7"/>
      <c r="HJH7" s="10"/>
      <c r="HJI7" s="10"/>
      <c r="HJJ7" s="10"/>
      <c r="HJL7" s="10"/>
      <c r="HJW7" s="7"/>
      <c r="HJX7" s="10"/>
      <c r="HJY7" s="10"/>
      <c r="HJZ7" s="10"/>
      <c r="HKB7" s="10"/>
      <c r="HKM7" s="7"/>
      <c r="HKN7" s="10"/>
      <c r="HKO7" s="10"/>
      <c r="HKP7" s="10"/>
      <c r="HKR7" s="10"/>
      <c r="HLC7" s="7"/>
      <c r="HLD7" s="10"/>
      <c r="HLE7" s="10"/>
      <c r="HLF7" s="10"/>
      <c r="HLH7" s="10"/>
      <c r="HLS7" s="7"/>
      <c r="HLT7" s="10"/>
      <c r="HLU7" s="10"/>
      <c r="HLV7" s="10"/>
      <c r="HLX7" s="10"/>
      <c r="HMI7" s="7"/>
      <c r="HMJ7" s="10"/>
      <c r="HMK7" s="10"/>
      <c r="HML7" s="10"/>
      <c r="HMN7" s="10"/>
      <c r="HMY7" s="7"/>
      <c r="HMZ7" s="10"/>
      <c r="HNA7" s="10"/>
      <c r="HNB7" s="10"/>
      <c r="HND7" s="10"/>
      <c r="HNO7" s="7"/>
      <c r="HNP7" s="10"/>
      <c r="HNQ7" s="10"/>
      <c r="HNR7" s="10"/>
      <c r="HNT7" s="10"/>
      <c r="HOE7" s="7"/>
      <c r="HOF7" s="10"/>
      <c r="HOG7" s="10"/>
      <c r="HOH7" s="10"/>
      <c r="HOJ7" s="10"/>
      <c r="HOU7" s="7"/>
      <c r="HOV7" s="10"/>
      <c r="HOW7" s="10"/>
      <c r="HOX7" s="10"/>
      <c r="HOZ7" s="10"/>
      <c r="HPK7" s="7"/>
      <c r="HPL7" s="10"/>
      <c r="HPM7" s="10"/>
      <c r="HPN7" s="10"/>
      <c r="HPP7" s="10"/>
      <c r="HQA7" s="7"/>
      <c r="HQB7" s="10"/>
      <c r="HQC7" s="10"/>
      <c r="HQD7" s="10"/>
      <c r="HQF7" s="10"/>
      <c r="HQQ7" s="7"/>
      <c r="HQR7" s="10"/>
      <c r="HQS7" s="10"/>
      <c r="HQT7" s="10"/>
      <c r="HQV7" s="10"/>
      <c r="HRG7" s="7"/>
      <c r="HRH7" s="10"/>
      <c r="HRI7" s="10"/>
      <c r="HRJ7" s="10"/>
      <c r="HRL7" s="10"/>
      <c r="HRW7" s="7"/>
      <c r="HRX7" s="10"/>
      <c r="HRY7" s="10"/>
      <c r="HRZ7" s="10"/>
      <c r="HSB7" s="10"/>
      <c r="HSM7" s="7"/>
      <c r="HSN7" s="10"/>
      <c r="HSO7" s="10"/>
      <c r="HSP7" s="10"/>
      <c r="HSR7" s="10"/>
      <c r="HTC7" s="7"/>
      <c r="HTD7" s="10"/>
      <c r="HTE7" s="10"/>
      <c r="HTF7" s="10"/>
      <c r="HTH7" s="10"/>
      <c r="HTS7" s="7"/>
      <c r="HTT7" s="10"/>
      <c r="HTU7" s="10"/>
      <c r="HTV7" s="10"/>
      <c r="HTX7" s="10"/>
      <c r="HUI7" s="7"/>
      <c r="HUJ7" s="10"/>
      <c r="HUK7" s="10"/>
      <c r="HUL7" s="10"/>
      <c r="HUN7" s="10"/>
      <c r="HUY7" s="7"/>
      <c r="HUZ7" s="10"/>
      <c r="HVA7" s="10"/>
      <c r="HVB7" s="10"/>
      <c r="HVD7" s="10"/>
      <c r="HVO7" s="7"/>
      <c r="HVP7" s="10"/>
      <c r="HVQ7" s="10"/>
      <c r="HVR7" s="10"/>
      <c r="HVT7" s="10"/>
      <c r="HWE7" s="7"/>
      <c r="HWF7" s="10"/>
      <c r="HWG7" s="10"/>
      <c r="HWH7" s="10"/>
      <c r="HWJ7" s="10"/>
      <c r="HWU7" s="7"/>
      <c r="HWV7" s="10"/>
      <c r="HWW7" s="10"/>
      <c r="HWX7" s="10"/>
      <c r="HWZ7" s="10"/>
      <c r="HXK7" s="7"/>
      <c r="HXL7" s="10"/>
      <c r="HXM7" s="10"/>
      <c r="HXN7" s="10"/>
      <c r="HXP7" s="10"/>
      <c r="HYA7" s="7"/>
      <c r="HYB7" s="10"/>
      <c r="HYC7" s="10"/>
      <c r="HYD7" s="10"/>
      <c r="HYF7" s="10"/>
      <c r="HYQ7" s="7"/>
      <c r="HYR7" s="10"/>
      <c r="HYS7" s="10"/>
      <c r="HYT7" s="10"/>
      <c r="HYV7" s="10"/>
      <c r="HZG7" s="7"/>
      <c r="HZH7" s="10"/>
      <c r="HZI7" s="10"/>
      <c r="HZJ7" s="10"/>
      <c r="HZL7" s="10"/>
      <c r="HZW7" s="7"/>
      <c r="HZX7" s="10"/>
      <c r="HZY7" s="10"/>
      <c r="HZZ7" s="10"/>
      <c r="IAB7" s="10"/>
      <c r="IAM7" s="7"/>
      <c r="IAN7" s="10"/>
      <c r="IAO7" s="10"/>
      <c r="IAP7" s="10"/>
      <c r="IAR7" s="10"/>
      <c r="IBC7" s="7"/>
      <c r="IBD7" s="10"/>
      <c r="IBE7" s="10"/>
      <c r="IBF7" s="10"/>
      <c r="IBH7" s="10"/>
      <c r="IBS7" s="7"/>
      <c r="IBT7" s="10"/>
      <c r="IBU7" s="10"/>
      <c r="IBV7" s="10"/>
      <c r="IBX7" s="10"/>
      <c r="ICI7" s="7"/>
      <c r="ICJ7" s="10"/>
      <c r="ICK7" s="10"/>
      <c r="ICL7" s="10"/>
      <c r="ICN7" s="10"/>
      <c r="ICY7" s="7"/>
      <c r="ICZ7" s="10"/>
      <c r="IDA7" s="10"/>
      <c r="IDB7" s="10"/>
      <c r="IDD7" s="10"/>
      <c r="IDO7" s="7"/>
      <c r="IDP7" s="10"/>
      <c r="IDQ7" s="10"/>
      <c r="IDR7" s="10"/>
      <c r="IDT7" s="10"/>
      <c r="IEE7" s="7"/>
      <c r="IEF7" s="10"/>
      <c r="IEG7" s="10"/>
      <c r="IEH7" s="10"/>
      <c r="IEJ7" s="10"/>
      <c r="IEU7" s="7"/>
      <c r="IEV7" s="10"/>
      <c r="IEW7" s="10"/>
      <c r="IEX7" s="10"/>
      <c r="IEZ7" s="10"/>
      <c r="IFK7" s="7"/>
      <c r="IFL7" s="10"/>
      <c r="IFM7" s="10"/>
      <c r="IFN7" s="10"/>
      <c r="IFP7" s="10"/>
      <c r="IGA7" s="7"/>
      <c r="IGB7" s="10"/>
      <c r="IGC7" s="10"/>
      <c r="IGD7" s="10"/>
      <c r="IGF7" s="10"/>
      <c r="IGQ7" s="7"/>
      <c r="IGR7" s="10"/>
      <c r="IGS7" s="10"/>
      <c r="IGT7" s="10"/>
      <c r="IGV7" s="10"/>
      <c r="IHG7" s="7"/>
      <c r="IHH7" s="10"/>
      <c r="IHI7" s="10"/>
      <c r="IHJ7" s="10"/>
      <c r="IHL7" s="10"/>
      <c r="IHW7" s="7"/>
      <c r="IHX7" s="10"/>
      <c r="IHY7" s="10"/>
      <c r="IHZ7" s="10"/>
      <c r="IIB7" s="10"/>
      <c r="IIM7" s="7"/>
      <c r="IIN7" s="10"/>
      <c r="IIO7" s="10"/>
      <c r="IIP7" s="10"/>
      <c r="IIR7" s="10"/>
      <c r="IJC7" s="7"/>
      <c r="IJD7" s="10"/>
      <c r="IJE7" s="10"/>
      <c r="IJF7" s="10"/>
      <c r="IJH7" s="10"/>
      <c r="IJS7" s="7"/>
      <c r="IJT7" s="10"/>
      <c r="IJU7" s="10"/>
      <c r="IJV7" s="10"/>
      <c r="IJX7" s="10"/>
      <c r="IKI7" s="7"/>
      <c r="IKJ7" s="10"/>
      <c r="IKK7" s="10"/>
      <c r="IKL7" s="10"/>
      <c r="IKN7" s="10"/>
      <c r="IKY7" s="7"/>
      <c r="IKZ7" s="10"/>
      <c r="ILA7" s="10"/>
      <c r="ILB7" s="10"/>
      <c r="ILD7" s="10"/>
      <c r="ILO7" s="7"/>
      <c r="ILP7" s="10"/>
      <c r="ILQ7" s="10"/>
      <c r="ILR7" s="10"/>
      <c r="ILT7" s="10"/>
      <c r="IME7" s="7"/>
      <c r="IMF7" s="10"/>
      <c r="IMG7" s="10"/>
      <c r="IMH7" s="10"/>
      <c r="IMJ7" s="10"/>
      <c r="IMU7" s="7"/>
      <c r="IMV7" s="10"/>
      <c r="IMW7" s="10"/>
      <c r="IMX7" s="10"/>
      <c r="IMZ7" s="10"/>
      <c r="INK7" s="7"/>
      <c r="INL7" s="10"/>
      <c r="INM7" s="10"/>
      <c r="INN7" s="10"/>
      <c r="INP7" s="10"/>
      <c r="IOA7" s="7"/>
      <c r="IOB7" s="10"/>
      <c r="IOC7" s="10"/>
      <c r="IOD7" s="10"/>
      <c r="IOF7" s="10"/>
      <c r="IOQ7" s="7"/>
      <c r="IOR7" s="10"/>
      <c r="IOS7" s="10"/>
      <c r="IOT7" s="10"/>
      <c r="IOV7" s="10"/>
      <c r="IPG7" s="7"/>
      <c r="IPH7" s="10"/>
      <c r="IPI7" s="10"/>
      <c r="IPJ7" s="10"/>
      <c r="IPL7" s="10"/>
      <c r="IPW7" s="7"/>
      <c r="IPX7" s="10"/>
      <c r="IPY7" s="10"/>
      <c r="IPZ7" s="10"/>
      <c r="IQB7" s="10"/>
      <c r="IQM7" s="7"/>
      <c r="IQN7" s="10"/>
      <c r="IQO7" s="10"/>
      <c r="IQP7" s="10"/>
      <c r="IQR7" s="10"/>
      <c r="IRC7" s="7"/>
      <c r="IRD7" s="10"/>
      <c r="IRE7" s="10"/>
      <c r="IRF7" s="10"/>
      <c r="IRH7" s="10"/>
      <c r="IRS7" s="7"/>
      <c r="IRT7" s="10"/>
      <c r="IRU7" s="10"/>
      <c r="IRV7" s="10"/>
      <c r="IRX7" s="10"/>
      <c r="ISI7" s="7"/>
      <c r="ISJ7" s="10"/>
      <c r="ISK7" s="10"/>
      <c r="ISL7" s="10"/>
      <c r="ISN7" s="10"/>
      <c r="ISY7" s="7"/>
      <c r="ISZ7" s="10"/>
      <c r="ITA7" s="10"/>
      <c r="ITB7" s="10"/>
      <c r="ITD7" s="10"/>
      <c r="ITO7" s="7"/>
      <c r="ITP7" s="10"/>
      <c r="ITQ7" s="10"/>
      <c r="ITR7" s="10"/>
      <c r="ITT7" s="10"/>
      <c r="IUE7" s="7"/>
      <c r="IUF7" s="10"/>
      <c r="IUG7" s="10"/>
      <c r="IUH7" s="10"/>
      <c r="IUJ7" s="10"/>
      <c r="IUU7" s="7"/>
      <c r="IUV7" s="10"/>
      <c r="IUW7" s="10"/>
      <c r="IUX7" s="10"/>
      <c r="IUZ7" s="10"/>
      <c r="IVK7" s="7"/>
      <c r="IVL7" s="10"/>
      <c r="IVM7" s="10"/>
      <c r="IVN7" s="10"/>
      <c r="IVP7" s="10"/>
      <c r="IWA7" s="7"/>
      <c r="IWB7" s="10"/>
      <c r="IWC7" s="10"/>
      <c r="IWD7" s="10"/>
      <c r="IWF7" s="10"/>
      <c r="IWQ7" s="7"/>
      <c r="IWR7" s="10"/>
      <c r="IWS7" s="10"/>
      <c r="IWT7" s="10"/>
      <c r="IWV7" s="10"/>
      <c r="IXG7" s="7"/>
      <c r="IXH7" s="10"/>
      <c r="IXI7" s="10"/>
      <c r="IXJ7" s="10"/>
      <c r="IXL7" s="10"/>
      <c r="IXW7" s="7"/>
      <c r="IXX7" s="10"/>
      <c r="IXY7" s="10"/>
      <c r="IXZ7" s="10"/>
      <c r="IYB7" s="10"/>
      <c r="IYM7" s="7"/>
      <c r="IYN7" s="10"/>
      <c r="IYO7" s="10"/>
      <c r="IYP7" s="10"/>
      <c r="IYR7" s="10"/>
      <c r="IZC7" s="7"/>
      <c r="IZD7" s="10"/>
      <c r="IZE7" s="10"/>
      <c r="IZF7" s="10"/>
      <c r="IZH7" s="10"/>
      <c r="IZS7" s="7"/>
      <c r="IZT7" s="10"/>
      <c r="IZU7" s="10"/>
      <c r="IZV7" s="10"/>
      <c r="IZX7" s="10"/>
      <c r="JAI7" s="7"/>
      <c r="JAJ7" s="10"/>
      <c r="JAK7" s="10"/>
      <c r="JAL7" s="10"/>
      <c r="JAN7" s="10"/>
      <c r="JAY7" s="7"/>
      <c r="JAZ7" s="10"/>
      <c r="JBA7" s="10"/>
      <c r="JBB7" s="10"/>
      <c r="JBD7" s="10"/>
      <c r="JBO7" s="7"/>
      <c r="JBP7" s="10"/>
      <c r="JBQ7" s="10"/>
      <c r="JBR7" s="10"/>
      <c r="JBT7" s="10"/>
      <c r="JCE7" s="7"/>
      <c r="JCF7" s="10"/>
      <c r="JCG7" s="10"/>
      <c r="JCH7" s="10"/>
      <c r="JCJ7" s="10"/>
      <c r="JCU7" s="7"/>
      <c r="JCV7" s="10"/>
      <c r="JCW7" s="10"/>
      <c r="JCX7" s="10"/>
      <c r="JCZ7" s="10"/>
      <c r="JDK7" s="7"/>
      <c r="JDL7" s="10"/>
      <c r="JDM7" s="10"/>
      <c r="JDN7" s="10"/>
      <c r="JDP7" s="10"/>
      <c r="JEA7" s="7"/>
      <c r="JEB7" s="10"/>
      <c r="JEC7" s="10"/>
      <c r="JED7" s="10"/>
      <c r="JEF7" s="10"/>
      <c r="JEQ7" s="7"/>
      <c r="JER7" s="10"/>
      <c r="JES7" s="10"/>
      <c r="JET7" s="10"/>
      <c r="JEV7" s="10"/>
      <c r="JFG7" s="7"/>
      <c r="JFH7" s="10"/>
      <c r="JFI7" s="10"/>
      <c r="JFJ7" s="10"/>
      <c r="JFL7" s="10"/>
      <c r="JFW7" s="7"/>
      <c r="JFX7" s="10"/>
      <c r="JFY7" s="10"/>
      <c r="JFZ7" s="10"/>
      <c r="JGB7" s="10"/>
      <c r="JGM7" s="7"/>
      <c r="JGN7" s="10"/>
      <c r="JGO7" s="10"/>
      <c r="JGP7" s="10"/>
      <c r="JGR7" s="10"/>
      <c r="JHC7" s="7"/>
      <c r="JHD7" s="10"/>
      <c r="JHE7" s="10"/>
      <c r="JHF7" s="10"/>
      <c r="JHH7" s="10"/>
      <c r="JHS7" s="7"/>
      <c r="JHT7" s="10"/>
      <c r="JHU7" s="10"/>
      <c r="JHV7" s="10"/>
      <c r="JHX7" s="10"/>
      <c r="JII7" s="7"/>
      <c r="JIJ7" s="10"/>
      <c r="JIK7" s="10"/>
      <c r="JIL7" s="10"/>
      <c r="JIN7" s="10"/>
      <c r="JIY7" s="7"/>
      <c r="JIZ7" s="10"/>
      <c r="JJA7" s="10"/>
      <c r="JJB7" s="10"/>
      <c r="JJD7" s="10"/>
      <c r="JJO7" s="7"/>
      <c r="JJP7" s="10"/>
      <c r="JJQ7" s="10"/>
      <c r="JJR7" s="10"/>
      <c r="JJT7" s="10"/>
      <c r="JKE7" s="7"/>
      <c r="JKF7" s="10"/>
      <c r="JKG7" s="10"/>
      <c r="JKH7" s="10"/>
      <c r="JKJ7" s="10"/>
      <c r="JKU7" s="7"/>
      <c r="JKV7" s="10"/>
      <c r="JKW7" s="10"/>
      <c r="JKX7" s="10"/>
      <c r="JKZ7" s="10"/>
      <c r="JLK7" s="7"/>
      <c r="JLL7" s="10"/>
      <c r="JLM7" s="10"/>
      <c r="JLN7" s="10"/>
      <c r="JLP7" s="10"/>
      <c r="JMA7" s="7"/>
      <c r="JMB7" s="10"/>
      <c r="JMC7" s="10"/>
      <c r="JMD7" s="10"/>
      <c r="JMF7" s="10"/>
      <c r="JMQ7" s="7"/>
      <c r="JMR7" s="10"/>
      <c r="JMS7" s="10"/>
      <c r="JMT7" s="10"/>
      <c r="JMV7" s="10"/>
      <c r="JNG7" s="7"/>
      <c r="JNH7" s="10"/>
      <c r="JNI7" s="10"/>
      <c r="JNJ7" s="10"/>
      <c r="JNL7" s="10"/>
      <c r="JNW7" s="7"/>
      <c r="JNX7" s="10"/>
      <c r="JNY7" s="10"/>
      <c r="JNZ7" s="10"/>
      <c r="JOB7" s="10"/>
      <c r="JOM7" s="7"/>
      <c r="JON7" s="10"/>
      <c r="JOO7" s="10"/>
      <c r="JOP7" s="10"/>
      <c r="JOR7" s="10"/>
      <c r="JPC7" s="7"/>
      <c r="JPD7" s="10"/>
      <c r="JPE7" s="10"/>
      <c r="JPF7" s="10"/>
      <c r="JPH7" s="10"/>
      <c r="JPS7" s="7"/>
      <c r="JPT7" s="10"/>
      <c r="JPU7" s="10"/>
      <c r="JPV7" s="10"/>
      <c r="JPX7" s="10"/>
      <c r="JQI7" s="7"/>
      <c r="JQJ7" s="10"/>
      <c r="JQK7" s="10"/>
      <c r="JQL7" s="10"/>
      <c r="JQN7" s="10"/>
      <c r="JQY7" s="7"/>
      <c r="JQZ7" s="10"/>
      <c r="JRA7" s="10"/>
      <c r="JRB7" s="10"/>
      <c r="JRD7" s="10"/>
      <c r="JRO7" s="7"/>
      <c r="JRP7" s="10"/>
      <c r="JRQ7" s="10"/>
      <c r="JRR7" s="10"/>
      <c r="JRT7" s="10"/>
      <c r="JSE7" s="7"/>
      <c r="JSF7" s="10"/>
      <c r="JSG7" s="10"/>
      <c r="JSH7" s="10"/>
      <c r="JSJ7" s="10"/>
      <c r="JSU7" s="7"/>
      <c r="JSV7" s="10"/>
      <c r="JSW7" s="10"/>
      <c r="JSX7" s="10"/>
      <c r="JSZ7" s="10"/>
      <c r="JTK7" s="7"/>
      <c r="JTL7" s="10"/>
      <c r="JTM7" s="10"/>
      <c r="JTN7" s="10"/>
      <c r="JTP7" s="10"/>
      <c r="JUA7" s="7"/>
      <c r="JUB7" s="10"/>
      <c r="JUC7" s="10"/>
      <c r="JUD7" s="10"/>
      <c r="JUF7" s="10"/>
      <c r="JUQ7" s="7"/>
      <c r="JUR7" s="10"/>
      <c r="JUS7" s="10"/>
      <c r="JUT7" s="10"/>
      <c r="JUV7" s="10"/>
      <c r="JVG7" s="7"/>
      <c r="JVH7" s="10"/>
      <c r="JVI7" s="10"/>
      <c r="JVJ7" s="10"/>
      <c r="JVL7" s="10"/>
      <c r="JVW7" s="7"/>
      <c r="JVX7" s="10"/>
      <c r="JVY7" s="10"/>
      <c r="JVZ7" s="10"/>
      <c r="JWB7" s="10"/>
      <c r="JWM7" s="7"/>
      <c r="JWN7" s="10"/>
      <c r="JWO7" s="10"/>
      <c r="JWP7" s="10"/>
      <c r="JWR7" s="10"/>
      <c r="JXC7" s="7"/>
      <c r="JXD7" s="10"/>
      <c r="JXE7" s="10"/>
      <c r="JXF7" s="10"/>
      <c r="JXH7" s="10"/>
      <c r="JXS7" s="7"/>
      <c r="JXT7" s="10"/>
      <c r="JXU7" s="10"/>
      <c r="JXV7" s="10"/>
      <c r="JXX7" s="10"/>
      <c r="JYI7" s="7"/>
      <c r="JYJ7" s="10"/>
      <c r="JYK7" s="10"/>
      <c r="JYL7" s="10"/>
      <c r="JYN7" s="10"/>
      <c r="JYY7" s="7"/>
      <c r="JYZ7" s="10"/>
      <c r="JZA7" s="10"/>
      <c r="JZB7" s="10"/>
      <c r="JZD7" s="10"/>
      <c r="JZO7" s="7"/>
      <c r="JZP7" s="10"/>
      <c r="JZQ7" s="10"/>
      <c r="JZR7" s="10"/>
      <c r="JZT7" s="10"/>
      <c r="KAE7" s="7"/>
      <c r="KAF7" s="10"/>
      <c r="KAG7" s="10"/>
      <c r="KAH7" s="10"/>
      <c r="KAJ7" s="10"/>
      <c r="KAU7" s="7"/>
      <c r="KAV7" s="10"/>
      <c r="KAW7" s="10"/>
      <c r="KAX7" s="10"/>
      <c r="KAZ7" s="10"/>
      <c r="KBK7" s="7"/>
      <c r="KBL7" s="10"/>
      <c r="KBM7" s="10"/>
      <c r="KBN7" s="10"/>
      <c r="KBP7" s="10"/>
      <c r="KCA7" s="7"/>
      <c r="KCB7" s="10"/>
      <c r="KCC7" s="10"/>
      <c r="KCD7" s="10"/>
      <c r="KCF7" s="10"/>
      <c r="KCQ7" s="7"/>
      <c r="KCR7" s="10"/>
      <c r="KCS7" s="10"/>
      <c r="KCT7" s="10"/>
      <c r="KCV7" s="10"/>
      <c r="KDG7" s="7"/>
      <c r="KDH7" s="10"/>
      <c r="KDI7" s="10"/>
      <c r="KDJ7" s="10"/>
      <c r="KDL7" s="10"/>
      <c r="KDW7" s="7"/>
      <c r="KDX7" s="10"/>
      <c r="KDY7" s="10"/>
      <c r="KDZ7" s="10"/>
      <c r="KEB7" s="10"/>
      <c r="KEM7" s="7"/>
      <c r="KEN7" s="10"/>
      <c r="KEO7" s="10"/>
      <c r="KEP7" s="10"/>
      <c r="KER7" s="10"/>
      <c r="KFC7" s="7"/>
      <c r="KFD7" s="10"/>
      <c r="KFE7" s="10"/>
      <c r="KFF7" s="10"/>
      <c r="KFH7" s="10"/>
      <c r="KFS7" s="7"/>
      <c r="KFT7" s="10"/>
      <c r="KFU7" s="10"/>
      <c r="KFV7" s="10"/>
      <c r="KFX7" s="10"/>
      <c r="KGI7" s="7"/>
      <c r="KGJ7" s="10"/>
      <c r="KGK7" s="10"/>
      <c r="KGL7" s="10"/>
      <c r="KGN7" s="10"/>
      <c r="KGY7" s="7"/>
      <c r="KGZ7" s="10"/>
      <c r="KHA7" s="10"/>
      <c r="KHB7" s="10"/>
      <c r="KHD7" s="10"/>
      <c r="KHO7" s="7"/>
      <c r="KHP7" s="10"/>
      <c r="KHQ7" s="10"/>
      <c r="KHR7" s="10"/>
      <c r="KHT7" s="10"/>
      <c r="KIE7" s="7"/>
      <c r="KIF7" s="10"/>
      <c r="KIG7" s="10"/>
      <c r="KIH7" s="10"/>
      <c r="KIJ7" s="10"/>
      <c r="KIU7" s="7"/>
      <c r="KIV7" s="10"/>
      <c r="KIW7" s="10"/>
      <c r="KIX7" s="10"/>
      <c r="KIZ7" s="10"/>
      <c r="KJK7" s="7"/>
      <c r="KJL7" s="10"/>
      <c r="KJM7" s="10"/>
      <c r="KJN7" s="10"/>
      <c r="KJP7" s="10"/>
      <c r="KKA7" s="7"/>
      <c r="KKB7" s="10"/>
      <c r="KKC7" s="10"/>
      <c r="KKD7" s="10"/>
      <c r="KKF7" s="10"/>
      <c r="KKQ7" s="7"/>
      <c r="KKR7" s="10"/>
      <c r="KKS7" s="10"/>
      <c r="KKT7" s="10"/>
      <c r="KKV7" s="10"/>
      <c r="KLG7" s="7"/>
      <c r="KLH7" s="10"/>
      <c r="KLI7" s="10"/>
      <c r="KLJ7" s="10"/>
      <c r="KLL7" s="10"/>
      <c r="KLW7" s="7"/>
      <c r="KLX7" s="10"/>
      <c r="KLY7" s="10"/>
      <c r="KLZ7" s="10"/>
      <c r="KMB7" s="10"/>
      <c r="KMM7" s="7"/>
      <c r="KMN7" s="10"/>
      <c r="KMO7" s="10"/>
      <c r="KMP7" s="10"/>
      <c r="KMR7" s="10"/>
      <c r="KNC7" s="7"/>
      <c r="KND7" s="10"/>
      <c r="KNE7" s="10"/>
      <c r="KNF7" s="10"/>
      <c r="KNH7" s="10"/>
      <c r="KNS7" s="7"/>
      <c r="KNT7" s="10"/>
      <c r="KNU7" s="10"/>
      <c r="KNV7" s="10"/>
      <c r="KNX7" s="10"/>
      <c r="KOI7" s="7"/>
      <c r="KOJ7" s="10"/>
      <c r="KOK7" s="10"/>
      <c r="KOL7" s="10"/>
      <c r="KON7" s="10"/>
      <c r="KOY7" s="7"/>
      <c r="KOZ7" s="10"/>
      <c r="KPA7" s="10"/>
      <c r="KPB7" s="10"/>
      <c r="KPD7" s="10"/>
      <c r="KPO7" s="7"/>
      <c r="KPP7" s="10"/>
      <c r="KPQ7" s="10"/>
      <c r="KPR7" s="10"/>
      <c r="KPT7" s="10"/>
      <c r="KQE7" s="7"/>
      <c r="KQF7" s="10"/>
      <c r="KQG7" s="10"/>
      <c r="KQH7" s="10"/>
      <c r="KQJ7" s="10"/>
      <c r="KQU7" s="7"/>
      <c r="KQV7" s="10"/>
      <c r="KQW7" s="10"/>
      <c r="KQX7" s="10"/>
      <c r="KQZ7" s="10"/>
      <c r="KRK7" s="7"/>
      <c r="KRL7" s="10"/>
      <c r="KRM7" s="10"/>
      <c r="KRN7" s="10"/>
      <c r="KRP7" s="10"/>
      <c r="KSA7" s="7"/>
      <c r="KSB7" s="10"/>
      <c r="KSC7" s="10"/>
      <c r="KSD7" s="10"/>
      <c r="KSF7" s="10"/>
      <c r="KSQ7" s="7"/>
      <c r="KSR7" s="10"/>
      <c r="KSS7" s="10"/>
      <c r="KST7" s="10"/>
      <c r="KSV7" s="10"/>
      <c r="KTG7" s="7"/>
      <c r="KTH7" s="10"/>
      <c r="KTI7" s="10"/>
      <c r="KTJ7" s="10"/>
      <c r="KTL7" s="10"/>
      <c r="KTW7" s="7"/>
      <c r="KTX7" s="10"/>
      <c r="KTY7" s="10"/>
      <c r="KTZ7" s="10"/>
      <c r="KUB7" s="10"/>
      <c r="KUM7" s="7"/>
      <c r="KUN7" s="10"/>
      <c r="KUO7" s="10"/>
      <c r="KUP7" s="10"/>
      <c r="KUR7" s="10"/>
      <c r="KVC7" s="7"/>
      <c r="KVD7" s="10"/>
      <c r="KVE7" s="10"/>
      <c r="KVF7" s="10"/>
      <c r="KVH7" s="10"/>
      <c r="KVS7" s="7"/>
      <c r="KVT7" s="10"/>
      <c r="KVU7" s="10"/>
      <c r="KVV7" s="10"/>
      <c r="KVX7" s="10"/>
      <c r="KWI7" s="7"/>
      <c r="KWJ7" s="10"/>
      <c r="KWK7" s="10"/>
      <c r="KWL7" s="10"/>
      <c r="KWN7" s="10"/>
      <c r="KWY7" s="7"/>
      <c r="KWZ7" s="10"/>
      <c r="KXA7" s="10"/>
      <c r="KXB7" s="10"/>
      <c r="KXD7" s="10"/>
      <c r="KXO7" s="7"/>
      <c r="KXP7" s="10"/>
      <c r="KXQ7" s="10"/>
      <c r="KXR7" s="10"/>
      <c r="KXT7" s="10"/>
      <c r="KYE7" s="7"/>
      <c r="KYF7" s="10"/>
      <c r="KYG7" s="10"/>
      <c r="KYH7" s="10"/>
      <c r="KYJ7" s="10"/>
      <c r="KYU7" s="7"/>
      <c r="KYV7" s="10"/>
      <c r="KYW7" s="10"/>
      <c r="KYX7" s="10"/>
      <c r="KYZ7" s="10"/>
      <c r="KZK7" s="7"/>
      <c r="KZL7" s="10"/>
      <c r="KZM7" s="10"/>
      <c r="KZN7" s="10"/>
      <c r="KZP7" s="10"/>
      <c r="LAA7" s="7"/>
      <c r="LAB7" s="10"/>
      <c r="LAC7" s="10"/>
      <c r="LAD7" s="10"/>
      <c r="LAF7" s="10"/>
      <c r="LAQ7" s="7"/>
      <c r="LAR7" s="10"/>
      <c r="LAS7" s="10"/>
      <c r="LAT7" s="10"/>
      <c r="LAV7" s="10"/>
      <c r="LBG7" s="7"/>
      <c r="LBH7" s="10"/>
      <c r="LBI7" s="10"/>
      <c r="LBJ7" s="10"/>
      <c r="LBL7" s="10"/>
      <c r="LBW7" s="7"/>
      <c r="LBX7" s="10"/>
      <c r="LBY7" s="10"/>
      <c r="LBZ7" s="10"/>
      <c r="LCB7" s="10"/>
      <c r="LCM7" s="7"/>
      <c r="LCN7" s="10"/>
      <c r="LCO7" s="10"/>
      <c r="LCP7" s="10"/>
      <c r="LCR7" s="10"/>
      <c r="LDC7" s="7"/>
      <c r="LDD7" s="10"/>
      <c r="LDE7" s="10"/>
      <c r="LDF7" s="10"/>
      <c r="LDH7" s="10"/>
      <c r="LDS7" s="7"/>
      <c r="LDT7" s="10"/>
      <c r="LDU7" s="10"/>
      <c r="LDV7" s="10"/>
      <c r="LDX7" s="10"/>
      <c r="LEI7" s="7"/>
      <c r="LEJ7" s="10"/>
      <c r="LEK7" s="10"/>
      <c r="LEL7" s="10"/>
      <c r="LEN7" s="10"/>
      <c r="LEY7" s="7"/>
      <c r="LEZ7" s="10"/>
      <c r="LFA7" s="10"/>
      <c r="LFB7" s="10"/>
      <c r="LFD7" s="10"/>
      <c r="LFO7" s="7"/>
      <c r="LFP7" s="10"/>
      <c r="LFQ7" s="10"/>
      <c r="LFR7" s="10"/>
      <c r="LFT7" s="10"/>
      <c r="LGE7" s="7"/>
      <c r="LGF7" s="10"/>
      <c r="LGG7" s="10"/>
      <c r="LGH7" s="10"/>
      <c r="LGJ7" s="10"/>
      <c r="LGU7" s="7"/>
      <c r="LGV7" s="10"/>
      <c r="LGW7" s="10"/>
      <c r="LGX7" s="10"/>
      <c r="LGZ7" s="10"/>
      <c r="LHK7" s="7"/>
      <c r="LHL7" s="10"/>
      <c r="LHM7" s="10"/>
      <c r="LHN7" s="10"/>
      <c r="LHP7" s="10"/>
      <c r="LIA7" s="7"/>
      <c r="LIB7" s="10"/>
      <c r="LIC7" s="10"/>
      <c r="LID7" s="10"/>
      <c r="LIF7" s="10"/>
      <c r="LIQ7" s="7"/>
      <c r="LIR7" s="10"/>
      <c r="LIS7" s="10"/>
      <c r="LIT7" s="10"/>
      <c r="LIV7" s="10"/>
      <c r="LJG7" s="7"/>
      <c r="LJH7" s="10"/>
      <c r="LJI7" s="10"/>
      <c r="LJJ7" s="10"/>
      <c r="LJL7" s="10"/>
      <c r="LJW7" s="7"/>
      <c r="LJX7" s="10"/>
      <c r="LJY7" s="10"/>
      <c r="LJZ7" s="10"/>
      <c r="LKB7" s="10"/>
      <c r="LKM7" s="7"/>
      <c r="LKN7" s="10"/>
      <c r="LKO7" s="10"/>
      <c r="LKP7" s="10"/>
      <c r="LKR7" s="10"/>
      <c r="LLC7" s="7"/>
      <c r="LLD7" s="10"/>
      <c r="LLE7" s="10"/>
      <c r="LLF7" s="10"/>
      <c r="LLH7" s="10"/>
      <c r="LLS7" s="7"/>
      <c r="LLT7" s="10"/>
      <c r="LLU7" s="10"/>
      <c r="LLV7" s="10"/>
      <c r="LLX7" s="10"/>
      <c r="LMI7" s="7"/>
      <c r="LMJ7" s="10"/>
      <c r="LMK7" s="10"/>
      <c r="LML7" s="10"/>
      <c r="LMN7" s="10"/>
      <c r="LMY7" s="7"/>
      <c r="LMZ7" s="10"/>
      <c r="LNA7" s="10"/>
      <c r="LNB7" s="10"/>
      <c r="LND7" s="10"/>
      <c r="LNO7" s="7"/>
      <c r="LNP7" s="10"/>
      <c r="LNQ7" s="10"/>
      <c r="LNR7" s="10"/>
      <c r="LNT7" s="10"/>
      <c r="LOE7" s="7"/>
      <c r="LOF7" s="10"/>
      <c r="LOG7" s="10"/>
      <c r="LOH7" s="10"/>
      <c r="LOJ7" s="10"/>
      <c r="LOU7" s="7"/>
      <c r="LOV7" s="10"/>
      <c r="LOW7" s="10"/>
      <c r="LOX7" s="10"/>
      <c r="LOZ7" s="10"/>
      <c r="LPK7" s="7"/>
      <c r="LPL7" s="10"/>
      <c r="LPM7" s="10"/>
      <c r="LPN7" s="10"/>
      <c r="LPP7" s="10"/>
      <c r="LQA7" s="7"/>
      <c r="LQB7" s="10"/>
      <c r="LQC7" s="10"/>
      <c r="LQD7" s="10"/>
      <c r="LQF7" s="10"/>
      <c r="LQQ7" s="7"/>
      <c r="LQR7" s="10"/>
      <c r="LQS7" s="10"/>
      <c r="LQT7" s="10"/>
      <c r="LQV7" s="10"/>
      <c r="LRG7" s="7"/>
      <c r="LRH7" s="10"/>
      <c r="LRI7" s="10"/>
      <c r="LRJ7" s="10"/>
      <c r="LRL7" s="10"/>
      <c r="LRW7" s="7"/>
      <c r="LRX7" s="10"/>
      <c r="LRY7" s="10"/>
      <c r="LRZ7" s="10"/>
      <c r="LSB7" s="10"/>
      <c r="LSM7" s="7"/>
      <c r="LSN7" s="10"/>
      <c r="LSO7" s="10"/>
      <c r="LSP7" s="10"/>
      <c r="LSR7" s="10"/>
      <c r="LTC7" s="7"/>
      <c r="LTD7" s="10"/>
      <c r="LTE7" s="10"/>
      <c r="LTF7" s="10"/>
      <c r="LTH7" s="10"/>
      <c r="LTS7" s="7"/>
      <c r="LTT7" s="10"/>
      <c r="LTU7" s="10"/>
      <c r="LTV7" s="10"/>
      <c r="LTX7" s="10"/>
      <c r="LUI7" s="7"/>
      <c r="LUJ7" s="10"/>
      <c r="LUK7" s="10"/>
      <c r="LUL7" s="10"/>
      <c r="LUN7" s="10"/>
      <c r="LUY7" s="7"/>
      <c r="LUZ7" s="10"/>
      <c r="LVA7" s="10"/>
      <c r="LVB7" s="10"/>
      <c r="LVD7" s="10"/>
      <c r="LVO7" s="7"/>
      <c r="LVP7" s="10"/>
      <c r="LVQ7" s="10"/>
      <c r="LVR7" s="10"/>
      <c r="LVT7" s="10"/>
      <c r="LWE7" s="7"/>
      <c r="LWF7" s="10"/>
      <c r="LWG7" s="10"/>
      <c r="LWH7" s="10"/>
      <c r="LWJ7" s="10"/>
      <c r="LWU7" s="7"/>
      <c r="LWV7" s="10"/>
      <c r="LWW7" s="10"/>
      <c r="LWX7" s="10"/>
      <c r="LWZ7" s="10"/>
      <c r="LXK7" s="7"/>
      <c r="LXL7" s="10"/>
      <c r="LXM7" s="10"/>
      <c r="LXN7" s="10"/>
      <c r="LXP7" s="10"/>
      <c r="LYA7" s="7"/>
      <c r="LYB7" s="10"/>
      <c r="LYC7" s="10"/>
      <c r="LYD7" s="10"/>
      <c r="LYF7" s="10"/>
      <c r="LYQ7" s="7"/>
      <c r="LYR7" s="10"/>
      <c r="LYS7" s="10"/>
      <c r="LYT7" s="10"/>
      <c r="LYV7" s="10"/>
      <c r="LZG7" s="7"/>
      <c r="LZH7" s="10"/>
      <c r="LZI7" s="10"/>
      <c r="LZJ7" s="10"/>
      <c r="LZL7" s="10"/>
      <c r="LZW7" s="7"/>
      <c r="LZX7" s="10"/>
      <c r="LZY7" s="10"/>
      <c r="LZZ7" s="10"/>
      <c r="MAB7" s="10"/>
      <c r="MAM7" s="7"/>
      <c r="MAN7" s="10"/>
      <c r="MAO7" s="10"/>
      <c r="MAP7" s="10"/>
      <c r="MAR7" s="10"/>
      <c r="MBC7" s="7"/>
      <c r="MBD7" s="10"/>
      <c r="MBE7" s="10"/>
      <c r="MBF7" s="10"/>
      <c r="MBH7" s="10"/>
      <c r="MBS7" s="7"/>
      <c r="MBT7" s="10"/>
      <c r="MBU7" s="10"/>
      <c r="MBV7" s="10"/>
      <c r="MBX7" s="10"/>
      <c r="MCI7" s="7"/>
      <c r="MCJ7" s="10"/>
      <c r="MCK7" s="10"/>
      <c r="MCL7" s="10"/>
      <c r="MCN7" s="10"/>
      <c r="MCY7" s="7"/>
      <c r="MCZ7" s="10"/>
      <c r="MDA7" s="10"/>
      <c r="MDB7" s="10"/>
      <c r="MDD7" s="10"/>
      <c r="MDO7" s="7"/>
      <c r="MDP7" s="10"/>
      <c r="MDQ7" s="10"/>
      <c r="MDR7" s="10"/>
      <c r="MDT7" s="10"/>
      <c r="MEE7" s="7"/>
      <c r="MEF7" s="10"/>
      <c r="MEG7" s="10"/>
      <c r="MEH7" s="10"/>
      <c r="MEJ7" s="10"/>
      <c r="MEU7" s="7"/>
      <c r="MEV7" s="10"/>
      <c r="MEW7" s="10"/>
      <c r="MEX7" s="10"/>
      <c r="MEZ7" s="10"/>
      <c r="MFK7" s="7"/>
      <c r="MFL7" s="10"/>
      <c r="MFM7" s="10"/>
      <c r="MFN7" s="10"/>
      <c r="MFP7" s="10"/>
      <c r="MGA7" s="7"/>
      <c r="MGB7" s="10"/>
      <c r="MGC7" s="10"/>
      <c r="MGD7" s="10"/>
      <c r="MGF7" s="10"/>
      <c r="MGQ7" s="7"/>
      <c r="MGR7" s="10"/>
      <c r="MGS7" s="10"/>
      <c r="MGT7" s="10"/>
      <c r="MGV7" s="10"/>
      <c r="MHG7" s="7"/>
      <c r="MHH7" s="10"/>
      <c r="MHI7" s="10"/>
      <c r="MHJ7" s="10"/>
      <c r="MHL7" s="10"/>
      <c r="MHW7" s="7"/>
      <c r="MHX7" s="10"/>
      <c r="MHY7" s="10"/>
      <c r="MHZ7" s="10"/>
      <c r="MIB7" s="10"/>
      <c r="MIM7" s="7"/>
      <c r="MIN7" s="10"/>
      <c r="MIO7" s="10"/>
      <c r="MIP7" s="10"/>
      <c r="MIR7" s="10"/>
      <c r="MJC7" s="7"/>
      <c r="MJD7" s="10"/>
      <c r="MJE7" s="10"/>
      <c r="MJF7" s="10"/>
      <c r="MJH7" s="10"/>
      <c r="MJS7" s="7"/>
      <c r="MJT7" s="10"/>
      <c r="MJU7" s="10"/>
      <c r="MJV7" s="10"/>
      <c r="MJX7" s="10"/>
      <c r="MKI7" s="7"/>
      <c r="MKJ7" s="10"/>
      <c r="MKK7" s="10"/>
      <c r="MKL7" s="10"/>
      <c r="MKN7" s="10"/>
      <c r="MKY7" s="7"/>
      <c r="MKZ7" s="10"/>
      <c r="MLA7" s="10"/>
      <c r="MLB7" s="10"/>
      <c r="MLD7" s="10"/>
      <c r="MLO7" s="7"/>
      <c r="MLP7" s="10"/>
      <c r="MLQ7" s="10"/>
      <c r="MLR7" s="10"/>
      <c r="MLT7" s="10"/>
      <c r="MME7" s="7"/>
      <c r="MMF7" s="10"/>
      <c r="MMG7" s="10"/>
      <c r="MMH7" s="10"/>
      <c r="MMJ7" s="10"/>
      <c r="MMU7" s="7"/>
      <c r="MMV7" s="10"/>
      <c r="MMW7" s="10"/>
      <c r="MMX7" s="10"/>
      <c r="MMZ7" s="10"/>
      <c r="MNK7" s="7"/>
      <c r="MNL7" s="10"/>
      <c r="MNM7" s="10"/>
      <c r="MNN7" s="10"/>
      <c r="MNP7" s="10"/>
      <c r="MOA7" s="7"/>
      <c r="MOB7" s="10"/>
      <c r="MOC7" s="10"/>
      <c r="MOD7" s="10"/>
      <c r="MOF7" s="10"/>
      <c r="MOQ7" s="7"/>
      <c r="MOR7" s="10"/>
      <c r="MOS7" s="10"/>
      <c r="MOT7" s="10"/>
      <c r="MOV7" s="10"/>
      <c r="MPG7" s="7"/>
      <c r="MPH7" s="10"/>
      <c r="MPI7" s="10"/>
      <c r="MPJ7" s="10"/>
      <c r="MPL7" s="10"/>
      <c r="MPW7" s="7"/>
      <c r="MPX7" s="10"/>
      <c r="MPY7" s="10"/>
      <c r="MPZ7" s="10"/>
      <c r="MQB7" s="10"/>
      <c r="MQM7" s="7"/>
      <c r="MQN7" s="10"/>
      <c r="MQO7" s="10"/>
      <c r="MQP7" s="10"/>
      <c r="MQR7" s="10"/>
      <c r="MRC7" s="7"/>
      <c r="MRD7" s="10"/>
      <c r="MRE7" s="10"/>
      <c r="MRF7" s="10"/>
      <c r="MRH7" s="10"/>
      <c r="MRS7" s="7"/>
      <c r="MRT7" s="10"/>
      <c r="MRU7" s="10"/>
      <c r="MRV7" s="10"/>
      <c r="MRX7" s="10"/>
      <c r="MSI7" s="7"/>
      <c r="MSJ7" s="10"/>
      <c r="MSK7" s="10"/>
      <c r="MSL7" s="10"/>
      <c r="MSN7" s="10"/>
      <c r="MSY7" s="7"/>
      <c r="MSZ7" s="10"/>
      <c r="MTA7" s="10"/>
      <c r="MTB7" s="10"/>
      <c r="MTD7" s="10"/>
      <c r="MTO7" s="7"/>
      <c r="MTP7" s="10"/>
      <c r="MTQ7" s="10"/>
      <c r="MTR7" s="10"/>
      <c r="MTT7" s="10"/>
      <c r="MUE7" s="7"/>
      <c r="MUF7" s="10"/>
      <c r="MUG7" s="10"/>
      <c r="MUH7" s="10"/>
      <c r="MUJ7" s="10"/>
      <c r="MUU7" s="7"/>
      <c r="MUV7" s="10"/>
      <c r="MUW7" s="10"/>
      <c r="MUX7" s="10"/>
      <c r="MUZ7" s="10"/>
      <c r="MVK7" s="7"/>
      <c r="MVL7" s="10"/>
      <c r="MVM7" s="10"/>
      <c r="MVN7" s="10"/>
      <c r="MVP7" s="10"/>
      <c r="MWA7" s="7"/>
      <c r="MWB7" s="10"/>
      <c r="MWC7" s="10"/>
      <c r="MWD7" s="10"/>
      <c r="MWF7" s="10"/>
      <c r="MWQ7" s="7"/>
      <c r="MWR7" s="10"/>
      <c r="MWS7" s="10"/>
      <c r="MWT7" s="10"/>
      <c r="MWV7" s="10"/>
      <c r="MXG7" s="7"/>
      <c r="MXH7" s="10"/>
      <c r="MXI7" s="10"/>
      <c r="MXJ7" s="10"/>
      <c r="MXL7" s="10"/>
      <c r="MXW7" s="7"/>
      <c r="MXX7" s="10"/>
      <c r="MXY7" s="10"/>
      <c r="MXZ7" s="10"/>
      <c r="MYB7" s="10"/>
      <c r="MYM7" s="7"/>
      <c r="MYN7" s="10"/>
      <c r="MYO7" s="10"/>
      <c r="MYP7" s="10"/>
      <c r="MYR7" s="10"/>
      <c r="MZC7" s="7"/>
      <c r="MZD7" s="10"/>
      <c r="MZE7" s="10"/>
      <c r="MZF7" s="10"/>
      <c r="MZH7" s="10"/>
      <c r="MZS7" s="7"/>
      <c r="MZT7" s="10"/>
      <c r="MZU7" s="10"/>
      <c r="MZV7" s="10"/>
      <c r="MZX7" s="10"/>
      <c r="NAI7" s="7"/>
      <c r="NAJ7" s="10"/>
      <c r="NAK7" s="10"/>
      <c r="NAL7" s="10"/>
      <c r="NAN7" s="10"/>
      <c r="NAY7" s="7"/>
      <c r="NAZ7" s="10"/>
      <c r="NBA7" s="10"/>
      <c r="NBB7" s="10"/>
      <c r="NBD7" s="10"/>
      <c r="NBO7" s="7"/>
      <c r="NBP7" s="10"/>
      <c r="NBQ7" s="10"/>
      <c r="NBR7" s="10"/>
      <c r="NBT7" s="10"/>
      <c r="NCE7" s="7"/>
      <c r="NCF7" s="10"/>
      <c r="NCG7" s="10"/>
      <c r="NCH7" s="10"/>
      <c r="NCJ7" s="10"/>
      <c r="NCU7" s="7"/>
      <c r="NCV7" s="10"/>
      <c r="NCW7" s="10"/>
      <c r="NCX7" s="10"/>
      <c r="NCZ7" s="10"/>
      <c r="NDK7" s="7"/>
      <c r="NDL7" s="10"/>
      <c r="NDM7" s="10"/>
      <c r="NDN7" s="10"/>
      <c r="NDP7" s="10"/>
      <c r="NEA7" s="7"/>
      <c r="NEB7" s="10"/>
      <c r="NEC7" s="10"/>
      <c r="NED7" s="10"/>
      <c r="NEF7" s="10"/>
      <c r="NEQ7" s="7"/>
      <c r="NER7" s="10"/>
      <c r="NES7" s="10"/>
      <c r="NET7" s="10"/>
      <c r="NEV7" s="10"/>
      <c r="NFG7" s="7"/>
      <c r="NFH7" s="10"/>
      <c r="NFI7" s="10"/>
      <c r="NFJ7" s="10"/>
      <c r="NFL7" s="10"/>
      <c r="NFW7" s="7"/>
      <c r="NFX7" s="10"/>
      <c r="NFY7" s="10"/>
      <c r="NFZ7" s="10"/>
      <c r="NGB7" s="10"/>
      <c r="NGM7" s="7"/>
      <c r="NGN7" s="10"/>
      <c r="NGO7" s="10"/>
      <c r="NGP7" s="10"/>
      <c r="NGR7" s="10"/>
      <c r="NHC7" s="7"/>
      <c r="NHD7" s="10"/>
      <c r="NHE7" s="10"/>
      <c r="NHF7" s="10"/>
      <c r="NHH7" s="10"/>
      <c r="NHS7" s="7"/>
      <c r="NHT7" s="10"/>
      <c r="NHU7" s="10"/>
      <c r="NHV7" s="10"/>
      <c r="NHX7" s="10"/>
      <c r="NII7" s="7"/>
      <c r="NIJ7" s="10"/>
      <c r="NIK7" s="10"/>
      <c r="NIL7" s="10"/>
      <c r="NIN7" s="10"/>
      <c r="NIY7" s="7"/>
      <c r="NIZ7" s="10"/>
      <c r="NJA7" s="10"/>
      <c r="NJB7" s="10"/>
      <c r="NJD7" s="10"/>
      <c r="NJO7" s="7"/>
      <c r="NJP7" s="10"/>
      <c r="NJQ7" s="10"/>
      <c r="NJR7" s="10"/>
      <c r="NJT7" s="10"/>
      <c r="NKE7" s="7"/>
      <c r="NKF7" s="10"/>
      <c r="NKG7" s="10"/>
      <c r="NKH7" s="10"/>
      <c r="NKJ7" s="10"/>
      <c r="NKU7" s="7"/>
      <c r="NKV7" s="10"/>
      <c r="NKW7" s="10"/>
      <c r="NKX7" s="10"/>
      <c r="NKZ7" s="10"/>
      <c r="NLK7" s="7"/>
      <c r="NLL7" s="10"/>
      <c r="NLM7" s="10"/>
      <c r="NLN7" s="10"/>
      <c r="NLP7" s="10"/>
      <c r="NMA7" s="7"/>
      <c r="NMB7" s="10"/>
      <c r="NMC7" s="10"/>
      <c r="NMD7" s="10"/>
      <c r="NMF7" s="10"/>
      <c r="NMQ7" s="7"/>
      <c r="NMR7" s="10"/>
      <c r="NMS7" s="10"/>
      <c r="NMT7" s="10"/>
      <c r="NMV7" s="10"/>
      <c r="NNG7" s="7"/>
      <c r="NNH7" s="10"/>
      <c r="NNI7" s="10"/>
      <c r="NNJ7" s="10"/>
      <c r="NNL7" s="10"/>
      <c r="NNW7" s="7"/>
      <c r="NNX7" s="10"/>
      <c r="NNY7" s="10"/>
      <c r="NNZ7" s="10"/>
      <c r="NOB7" s="10"/>
      <c r="NOM7" s="7"/>
      <c r="NON7" s="10"/>
      <c r="NOO7" s="10"/>
      <c r="NOP7" s="10"/>
      <c r="NOR7" s="10"/>
      <c r="NPC7" s="7"/>
      <c r="NPD7" s="10"/>
      <c r="NPE7" s="10"/>
      <c r="NPF7" s="10"/>
      <c r="NPH7" s="10"/>
      <c r="NPS7" s="7"/>
      <c r="NPT7" s="10"/>
      <c r="NPU7" s="10"/>
      <c r="NPV7" s="10"/>
      <c r="NPX7" s="10"/>
      <c r="NQI7" s="7"/>
      <c r="NQJ7" s="10"/>
      <c r="NQK7" s="10"/>
      <c r="NQL7" s="10"/>
      <c r="NQN7" s="10"/>
      <c r="NQY7" s="7"/>
      <c r="NQZ7" s="10"/>
      <c r="NRA7" s="10"/>
      <c r="NRB7" s="10"/>
      <c r="NRD7" s="10"/>
      <c r="NRO7" s="7"/>
      <c r="NRP7" s="10"/>
      <c r="NRQ7" s="10"/>
      <c r="NRR7" s="10"/>
      <c r="NRT7" s="10"/>
      <c r="NSE7" s="7"/>
      <c r="NSF7" s="10"/>
      <c r="NSG7" s="10"/>
      <c r="NSH7" s="10"/>
      <c r="NSJ7" s="10"/>
      <c r="NSU7" s="7"/>
      <c r="NSV7" s="10"/>
      <c r="NSW7" s="10"/>
      <c r="NSX7" s="10"/>
      <c r="NSZ7" s="10"/>
      <c r="NTK7" s="7"/>
      <c r="NTL7" s="10"/>
      <c r="NTM7" s="10"/>
      <c r="NTN7" s="10"/>
      <c r="NTP7" s="10"/>
      <c r="NUA7" s="7"/>
      <c r="NUB7" s="10"/>
      <c r="NUC7" s="10"/>
      <c r="NUD7" s="10"/>
      <c r="NUF7" s="10"/>
      <c r="NUQ7" s="7"/>
      <c r="NUR7" s="10"/>
      <c r="NUS7" s="10"/>
      <c r="NUT7" s="10"/>
      <c r="NUV7" s="10"/>
      <c r="NVG7" s="7"/>
      <c r="NVH7" s="10"/>
      <c r="NVI7" s="10"/>
      <c r="NVJ7" s="10"/>
      <c r="NVL7" s="10"/>
      <c r="NVW7" s="7"/>
      <c r="NVX7" s="10"/>
      <c r="NVY7" s="10"/>
      <c r="NVZ7" s="10"/>
      <c r="NWB7" s="10"/>
      <c r="NWM7" s="7"/>
      <c r="NWN7" s="10"/>
      <c r="NWO7" s="10"/>
      <c r="NWP7" s="10"/>
      <c r="NWR7" s="10"/>
      <c r="NXC7" s="7"/>
      <c r="NXD7" s="10"/>
      <c r="NXE7" s="10"/>
      <c r="NXF7" s="10"/>
      <c r="NXH7" s="10"/>
      <c r="NXS7" s="7"/>
      <c r="NXT7" s="10"/>
      <c r="NXU7" s="10"/>
      <c r="NXV7" s="10"/>
      <c r="NXX7" s="10"/>
      <c r="NYI7" s="7"/>
      <c r="NYJ7" s="10"/>
      <c r="NYK7" s="10"/>
      <c r="NYL7" s="10"/>
      <c r="NYN7" s="10"/>
      <c r="NYY7" s="7"/>
      <c r="NYZ7" s="10"/>
      <c r="NZA7" s="10"/>
      <c r="NZB7" s="10"/>
      <c r="NZD7" s="10"/>
      <c r="NZO7" s="7"/>
      <c r="NZP7" s="10"/>
      <c r="NZQ7" s="10"/>
      <c r="NZR7" s="10"/>
      <c r="NZT7" s="10"/>
      <c r="OAE7" s="7"/>
      <c r="OAF7" s="10"/>
      <c r="OAG7" s="10"/>
      <c r="OAH7" s="10"/>
      <c r="OAJ7" s="10"/>
      <c r="OAU7" s="7"/>
      <c r="OAV7" s="10"/>
      <c r="OAW7" s="10"/>
      <c r="OAX7" s="10"/>
      <c r="OAZ7" s="10"/>
      <c r="OBK7" s="7"/>
      <c r="OBL7" s="10"/>
      <c r="OBM7" s="10"/>
      <c r="OBN7" s="10"/>
      <c r="OBP7" s="10"/>
      <c r="OCA7" s="7"/>
      <c r="OCB7" s="10"/>
      <c r="OCC7" s="10"/>
      <c r="OCD7" s="10"/>
      <c r="OCF7" s="10"/>
      <c r="OCQ7" s="7"/>
      <c r="OCR7" s="10"/>
      <c r="OCS7" s="10"/>
      <c r="OCT7" s="10"/>
      <c r="OCV7" s="10"/>
      <c r="ODG7" s="7"/>
      <c r="ODH7" s="10"/>
      <c r="ODI7" s="10"/>
      <c r="ODJ7" s="10"/>
      <c r="ODL7" s="10"/>
      <c r="ODW7" s="7"/>
      <c r="ODX7" s="10"/>
      <c r="ODY7" s="10"/>
      <c r="ODZ7" s="10"/>
      <c r="OEB7" s="10"/>
      <c r="OEM7" s="7"/>
      <c r="OEN7" s="10"/>
      <c r="OEO7" s="10"/>
      <c r="OEP7" s="10"/>
      <c r="OER7" s="10"/>
      <c r="OFC7" s="7"/>
      <c r="OFD7" s="10"/>
      <c r="OFE7" s="10"/>
      <c r="OFF7" s="10"/>
      <c r="OFH7" s="10"/>
      <c r="OFS7" s="7"/>
      <c r="OFT7" s="10"/>
      <c r="OFU7" s="10"/>
      <c r="OFV7" s="10"/>
      <c r="OFX7" s="10"/>
      <c r="OGI7" s="7"/>
      <c r="OGJ7" s="10"/>
      <c r="OGK7" s="10"/>
      <c r="OGL7" s="10"/>
      <c r="OGN7" s="10"/>
      <c r="OGY7" s="7"/>
      <c r="OGZ7" s="10"/>
      <c r="OHA7" s="10"/>
      <c r="OHB7" s="10"/>
      <c r="OHD7" s="10"/>
      <c r="OHO7" s="7"/>
      <c r="OHP7" s="10"/>
      <c r="OHQ7" s="10"/>
      <c r="OHR7" s="10"/>
      <c r="OHT7" s="10"/>
      <c r="OIE7" s="7"/>
      <c r="OIF7" s="10"/>
      <c r="OIG7" s="10"/>
      <c r="OIH7" s="10"/>
      <c r="OIJ7" s="10"/>
      <c r="OIU7" s="7"/>
      <c r="OIV7" s="10"/>
      <c r="OIW7" s="10"/>
      <c r="OIX7" s="10"/>
      <c r="OIZ7" s="10"/>
      <c r="OJK7" s="7"/>
      <c r="OJL7" s="10"/>
      <c r="OJM7" s="10"/>
      <c r="OJN7" s="10"/>
      <c r="OJP7" s="10"/>
      <c r="OKA7" s="7"/>
      <c r="OKB7" s="10"/>
      <c r="OKC7" s="10"/>
      <c r="OKD7" s="10"/>
      <c r="OKF7" s="10"/>
      <c r="OKQ7" s="7"/>
      <c r="OKR7" s="10"/>
      <c r="OKS7" s="10"/>
      <c r="OKT7" s="10"/>
      <c r="OKV7" s="10"/>
      <c r="OLG7" s="7"/>
      <c r="OLH7" s="10"/>
      <c r="OLI7" s="10"/>
      <c r="OLJ7" s="10"/>
      <c r="OLL7" s="10"/>
      <c r="OLW7" s="7"/>
      <c r="OLX7" s="10"/>
      <c r="OLY7" s="10"/>
      <c r="OLZ7" s="10"/>
      <c r="OMB7" s="10"/>
      <c r="OMM7" s="7"/>
      <c r="OMN7" s="10"/>
      <c r="OMO7" s="10"/>
      <c r="OMP7" s="10"/>
      <c r="OMR7" s="10"/>
      <c r="ONC7" s="7"/>
      <c r="OND7" s="10"/>
      <c r="ONE7" s="10"/>
      <c r="ONF7" s="10"/>
      <c r="ONH7" s="10"/>
      <c r="ONS7" s="7"/>
      <c r="ONT7" s="10"/>
      <c r="ONU7" s="10"/>
      <c r="ONV7" s="10"/>
      <c r="ONX7" s="10"/>
      <c r="OOI7" s="7"/>
      <c r="OOJ7" s="10"/>
      <c r="OOK7" s="10"/>
      <c r="OOL7" s="10"/>
      <c r="OON7" s="10"/>
      <c r="OOY7" s="7"/>
      <c r="OOZ7" s="10"/>
      <c r="OPA7" s="10"/>
      <c r="OPB7" s="10"/>
      <c r="OPD7" s="10"/>
      <c r="OPO7" s="7"/>
      <c r="OPP7" s="10"/>
      <c r="OPQ7" s="10"/>
      <c r="OPR7" s="10"/>
      <c r="OPT7" s="10"/>
      <c r="OQE7" s="7"/>
      <c r="OQF7" s="10"/>
      <c r="OQG7" s="10"/>
      <c r="OQH7" s="10"/>
      <c r="OQJ7" s="10"/>
      <c r="OQU7" s="7"/>
      <c r="OQV7" s="10"/>
      <c r="OQW7" s="10"/>
      <c r="OQX7" s="10"/>
      <c r="OQZ7" s="10"/>
      <c r="ORK7" s="7"/>
      <c r="ORL7" s="10"/>
      <c r="ORM7" s="10"/>
      <c r="ORN7" s="10"/>
      <c r="ORP7" s="10"/>
      <c r="OSA7" s="7"/>
      <c r="OSB7" s="10"/>
      <c r="OSC7" s="10"/>
      <c r="OSD7" s="10"/>
      <c r="OSF7" s="10"/>
      <c r="OSQ7" s="7"/>
      <c r="OSR7" s="10"/>
      <c r="OSS7" s="10"/>
      <c r="OST7" s="10"/>
      <c r="OSV7" s="10"/>
      <c r="OTG7" s="7"/>
      <c r="OTH7" s="10"/>
      <c r="OTI7" s="10"/>
      <c r="OTJ7" s="10"/>
      <c r="OTL7" s="10"/>
      <c r="OTW7" s="7"/>
      <c r="OTX7" s="10"/>
      <c r="OTY7" s="10"/>
      <c r="OTZ7" s="10"/>
      <c r="OUB7" s="10"/>
      <c r="OUM7" s="7"/>
      <c r="OUN7" s="10"/>
      <c r="OUO7" s="10"/>
      <c r="OUP7" s="10"/>
      <c r="OUR7" s="10"/>
      <c r="OVC7" s="7"/>
      <c r="OVD7" s="10"/>
      <c r="OVE7" s="10"/>
      <c r="OVF7" s="10"/>
      <c r="OVH7" s="10"/>
      <c r="OVS7" s="7"/>
      <c r="OVT7" s="10"/>
      <c r="OVU7" s="10"/>
      <c r="OVV7" s="10"/>
      <c r="OVX7" s="10"/>
      <c r="OWI7" s="7"/>
      <c r="OWJ7" s="10"/>
      <c r="OWK7" s="10"/>
      <c r="OWL7" s="10"/>
      <c r="OWN7" s="10"/>
      <c r="OWY7" s="7"/>
      <c r="OWZ7" s="10"/>
      <c r="OXA7" s="10"/>
      <c r="OXB7" s="10"/>
      <c r="OXD7" s="10"/>
      <c r="OXO7" s="7"/>
      <c r="OXP7" s="10"/>
      <c r="OXQ7" s="10"/>
      <c r="OXR7" s="10"/>
      <c r="OXT7" s="10"/>
      <c r="OYE7" s="7"/>
      <c r="OYF7" s="10"/>
      <c r="OYG7" s="10"/>
      <c r="OYH7" s="10"/>
      <c r="OYJ7" s="10"/>
      <c r="OYU7" s="7"/>
      <c r="OYV7" s="10"/>
      <c r="OYW7" s="10"/>
      <c r="OYX7" s="10"/>
      <c r="OYZ7" s="10"/>
      <c r="OZK7" s="7"/>
      <c r="OZL7" s="10"/>
      <c r="OZM7" s="10"/>
      <c r="OZN7" s="10"/>
      <c r="OZP7" s="10"/>
      <c r="PAA7" s="7"/>
      <c r="PAB7" s="10"/>
      <c r="PAC7" s="10"/>
      <c r="PAD7" s="10"/>
      <c r="PAF7" s="10"/>
      <c r="PAQ7" s="7"/>
      <c r="PAR7" s="10"/>
      <c r="PAS7" s="10"/>
      <c r="PAT7" s="10"/>
      <c r="PAV7" s="10"/>
      <c r="PBG7" s="7"/>
      <c r="PBH7" s="10"/>
      <c r="PBI7" s="10"/>
      <c r="PBJ7" s="10"/>
      <c r="PBL7" s="10"/>
      <c r="PBW7" s="7"/>
      <c r="PBX7" s="10"/>
      <c r="PBY7" s="10"/>
      <c r="PBZ7" s="10"/>
      <c r="PCB7" s="10"/>
      <c r="PCM7" s="7"/>
      <c r="PCN7" s="10"/>
      <c r="PCO7" s="10"/>
      <c r="PCP7" s="10"/>
      <c r="PCR7" s="10"/>
      <c r="PDC7" s="7"/>
      <c r="PDD7" s="10"/>
      <c r="PDE7" s="10"/>
      <c r="PDF7" s="10"/>
      <c r="PDH7" s="10"/>
      <c r="PDS7" s="7"/>
      <c r="PDT7" s="10"/>
      <c r="PDU7" s="10"/>
      <c r="PDV7" s="10"/>
      <c r="PDX7" s="10"/>
      <c r="PEI7" s="7"/>
      <c r="PEJ7" s="10"/>
      <c r="PEK7" s="10"/>
      <c r="PEL7" s="10"/>
      <c r="PEN7" s="10"/>
      <c r="PEY7" s="7"/>
      <c r="PEZ7" s="10"/>
      <c r="PFA7" s="10"/>
      <c r="PFB7" s="10"/>
      <c r="PFD7" s="10"/>
      <c r="PFO7" s="7"/>
      <c r="PFP7" s="10"/>
      <c r="PFQ7" s="10"/>
      <c r="PFR7" s="10"/>
      <c r="PFT7" s="10"/>
      <c r="PGE7" s="7"/>
      <c r="PGF7" s="10"/>
      <c r="PGG7" s="10"/>
      <c r="PGH7" s="10"/>
      <c r="PGJ7" s="10"/>
      <c r="PGU7" s="7"/>
      <c r="PGV7" s="10"/>
      <c r="PGW7" s="10"/>
      <c r="PGX7" s="10"/>
      <c r="PGZ7" s="10"/>
      <c r="PHK7" s="7"/>
      <c r="PHL7" s="10"/>
      <c r="PHM7" s="10"/>
      <c r="PHN7" s="10"/>
      <c r="PHP7" s="10"/>
      <c r="PIA7" s="7"/>
      <c r="PIB7" s="10"/>
      <c r="PIC7" s="10"/>
      <c r="PID7" s="10"/>
      <c r="PIF7" s="10"/>
      <c r="PIQ7" s="7"/>
      <c r="PIR7" s="10"/>
      <c r="PIS7" s="10"/>
      <c r="PIT7" s="10"/>
      <c r="PIV7" s="10"/>
      <c r="PJG7" s="7"/>
      <c r="PJH7" s="10"/>
      <c r="PJI7" s="10"/>
      <c r="PJJ7" s="10"/>
      <c r="PJL7" s="10"/>
      <c r="PJW7" s="7"/>
      <c r="PJX7" s="10"/>
      <c r="PJY7" s="10"/>
      <c r="PJZ7" s="10"/>
      <c r="PKB7" s="10"/>
      <c r="PKM7" s="7"/>
      <c r="PKN7" s="10"/>
      <c r="PKO7" s="10"/>
      <c r="PKP7" s="10"/>
      <c r="PKR7" s="10"/>
      <c r="PLC7" s="7"/>
      <c r="PLD7" s="10"/>
      <c r="PLE7" s="10"/>
      <c r="PLF7" s="10"/>
      <c r="PLH7" s="10"/>
      <c r="PLS7" s="7"/>
      <c r="PLT7" s="10"/>
      <c r="PLU7" s="10"/>
      <c r="PLV7" s="10"/>
      <c r="PLX7" s="10"/>
      <c r="PMI7" s="7"/>
      <c r="PMJ7" s="10"/>
      <c r="PMK7" s="10"/>
      <c r="PML7" s="10"/>
      <c r="PMN7" s="10"/>
      <c r="PMY7" s="7"/>
      <c r="PMZ7" s="10"/>
      <c r="PNA7" s="10"/>
      <c r="PNB7" s="10"/>
      <c r="PND7" s="10"/>
      <c r="PNO7" s="7"/>
      <c r="PNP7" s="10"/>
      <c r="PNQ7" s="10"/>
      <c r="PNR7" s="10"/>
      <c r="PNT7" s="10"/>
      <c r="POE7" s="7"/>
      <c r="POF7" s="10"/>
      <c r="POG7" s="10"/>
      <c r="POH7" s="10"/>
      <c r="POJ7" s="10"/>
      <c r="POU7" s="7"/>
      <c r="POV7" s="10"/>
      <c r="POW7" s="10"/>
      <c r="POX7" s="10"/>
      <c r="POZ7" s="10"/>
      <c r="PPK7" s="7"/>
      <c r="PPL7" s="10"/>
      <c r="PPM7" s="10"/>
      <c r="PPN7" s="10"/>
      <c r="PPP7" s="10"/>
      <c r="PQA7" s="7"/>
      <c r="PQB7" s="10"/>
      <c r="PQC7" s="10"/>
      <c r="PQD7" s="10"/>
      <c r="PQF7" s="10"/>
      <c r="PQQ7" s="7"/>
      <c r="PQR7" s="10"/>
      <c r="PQS7" s="10"/>
      <c r="PQT7" s="10"/>
      <c r="PQV7" s="10"/>
      <c r="PRG7" s="7"/>
      <c r="PRH7" s="10"/>
      <c r="PRI7" s="10"/>
      <c r="PRJ7" s="10"/>
      <c r="PRL7" s="10"/>
      <c r="PRW7" s="7"/>
      <c r="PRX7" s="10"/>
      <c r="PRY7" s="10"/>
      <c r="PRZ7" s="10"/>
      <c r="PSB7" s="10"/>
      <c r="PSM7" s="7"/>
      <c r="PSN7" s="10"/>
      <c r="PSO7" s="10"/>
      <c r="PSP7" s="10"/>
      <c r="PSR7" s="10"/>
      <c r="PTC7" s="7"/>
      <c r="PTD7" s="10"/>
      <c r="PTE7" s="10"/>
      <c r="PTF7" s="10"/>
      <c r="PTH7" s="10"/>
      <c r="PTS7" s="7"/>
      <c r="PTT7" s="10"/>
      <c r="PTU7" s="10"/>
      <c r="PTV7" s="10"/>
      <c r="PTX7" s="10"/>
      <c r="PUI7" s="7"/>
      <c r="PUJ7" s="10"/>
      <c r="PUK7" s="10"/>
      <c r="PUL7" s="10"/>
      <c r="PUN7" s="10"/>
      <c r="PUY7" s="7"/>
      <c r="PUZ7" s="10"/>
      <c r="PVA7" s="10"/>
      <c r="PVB7" s="10"/>
      <c r="PVD7" s="10"/>
      <c r="PVO7" s="7"/>
      <c r="PVP7" s="10"/>
      <c r="PVQ7" s="10"/>
      <c r="PVR7" s="10"/>
      <c r="PVT7" s="10"/>
      <c r="PWE7" s="7"/>
      <c r="PWF7" s="10"/>
      <c r="PWG7" s="10"/>
      <c r="PWH7" s="10"/>
      <c r="PWJ7" s="10"/>
      <c r="PWU7" s="7"/>
      <c r="PWV7" s="10"/>
      <c r="PWW7" s="10"/>
      <c r="PWX7" s="10"/>
      <c r="PWZ7" s="10"/>
      <c r="PXK7" s="7"/>
      <c r="PXL7" s="10"/>
      <c r="PXM7" s="10"/>
      <c r="PXN7" s="10"/>
      <c r="PXP7" s="10"/>
      <c r="PYA7" s="7"/>
      <c r="PYB7" s="10"/>
      <c r="PYC7" s="10"/>
      <c r="PYD7" s="10"/>
      <c r="PYF7" s="10"/>
      <c r="PYQ7" s="7"/>
      <c r="PYR7" s="10"/>
      <c r="PYS7" s="10"/>
      <c r="PYT7" s="10"/>
      <c r="PYV7" s="10"/>
      <c r="PZG7" s="7"/>
      <c r="PZH7" s="10"/>
      <c r="PZI7" s="10"/>
      <c r="PZJ7" s="10"/>
      <c r="PZL7" s="10"/>
      <c r="PZW7" s="7"/>
      <c r="PZX7" s="10"/>
      <c r="PZY7" s="10"/>
      <c r="PZZ7" s="10"/>
      <c r="QAB7" s="10"/>
      <c r="QAM7" s="7"/>
      <c r="QAN7" s="10"/>
      <c r="QAO7" s="10"/>
      <c r="QAP7" s="10"/>
      <c r="QAR7" s="10"/>
      <c r="QBC7" s="7"/>
      <c r="QBD7" s="10"/>
      <c r="QBE7" s="10"/>
      <c r="QBF7" s="10"/>
      <c r="QBH7" s="10"/>
      <c r="QBS7" s="7"/>
      <c r="QBT7" s="10"/>
      <c r="QBU7" s="10"/>
      <c r="QBV7" s="10"/>
      <c r="QBX7" s="10"/>
      <c r="QCI7" s="7"/>
      <c r="QCJ7" s="10"/>
      <c r="QCK7" s="10"/>
      <c r="QCL7" s="10"/>
      <c r="QCN7" s="10"/>
      <c r="QCY7" s="7"/>
      <c r="QCZ7" s="10"/>
      <c r="QDA7" s="10"/>
      <c r="QDB7" s="10"/>
      <c r="QDD7" s="10"/>
      <c r="QDO7" s="7"/>
      <c r="QDP7" s="10"/>
      <c r="QDQ7" s="10"/>
      <c r="QDR7" s="10"/>
      <c r="QDT7" s="10"/>
      <c r="QEE7" s="7"/>
      <c r="QEF7" s="10"/>
      <c r="QEG7" s="10"/>
      <c r="QEH7" s="10"/>
      <c r="QEJ7" s="10"/>
      <c r="QEU7" s="7"/>
      <c r="QEV7" s="10"/>
      <c r="QEW7" s="10"/>
      <c r="QEX7" s="10"/>
      <c r="QEZ7" s="10"/>
      <c r="QFK7" s="7"/>
      <c r="QFL7" s="10"/>
      <c r="QFM7" s="10"/>
      <c r="QFN7" s="10"/>
      <c r="QFP7" s="10"/>
      <c r="QGA7" s="7"/>
      <c r="QGB7" s="10"/>
      <c r="QGC7" s="10"/>
      <c r="QGD7" s="10"/>
      <c r="QGF7" s="10"/>
      <c r="QGQ7" s="7"/>
      <c r="QGR7" s="10"/>
      <c r="QGS7" s="10"/>
      <c r="QGT7" s="10"/>
      <c r="QGV7" s="10"/>
      <c r="QHG7" s="7"/>
      <c r="QHH7" s="10"/>
      <c r="QHI7" s="10"/>
      <c r="QHJ7" s="10"/>
      <c r="QHL7" s="10"/>
      <c r="QHW7" s="7"/>
      <c r="QHX7" s="10"/>
      <c r="QHY7" s="10"/>
      <c r="QHZ7" s="10"/>
      <c r="QIB7" s="10"/>
      <c r="QIM7" s="7"/>
      <c r="QIN7" s="10"/>
      <c r="QIO7" s="10"/>
      <c r="QIP7" s="10"/>
      <c r="QIR7" s="10"/>
      <c r="QJC7" s="7"/>
      <c r="QJD7" s="10"/>
      <c r="QJE7" s="10"/>
      <c r="QJF7" s="10"/>
      <c r="QJH7" s="10"/>
      <c r="QJS7" s="7"/>
      <c r="QJT7" s="10"/>
      <c r="QJU7" s="10"/>
      <c r="QJV7" s="10"/>
      <c r="QJX7" s="10"/>
      <c r="QKI7" s="7"/>
      <c r="QKJ7" s="10"/>
      <c r="QKK7" s="10"/>
      <c r="QKL7" s="10"/>
      <c r="QKN7" s="10"/>
      <c r="QKY7" s="7"/>
      <c r="QKZ7" s="10"/>
      <c r="QLA7" s="10"/>
      <c r="QLB7" s="10"/>
      <c r="QLD7" s="10"/>
      <c r="QLO7" s="7"/>
      <c r="QLP7" s="10"/>
      <c r="QLQ7" s="10"/>
      <c r="QLR7" s="10"/>
      <c r="QLT7" s="10"/>
      <c r="QME7" s="7"/>
      <c r="QMF7" s="10"/>
      <c r="QMG7" s="10"/>
      <c r="QMH7" s="10"/>
      <c r="QMJ7" s="10"/>
      <c r="QMU7" s="7"/>
      <c r="QMV7" s="10"/>
      <c r="QMW7" s="10"/>
      <c r="QMX7" s="10"/>
      <c r="QMZ7" s="10"/>
      <c r="QNK7" s="7"/>
      <c r="QNL7" s="10"/>
      <c r="QNM7" s="10"/>
      <c r="QNN7" s="10"/>
      <c r="QNP7" s="10"/>
      <c r="QOA7" s="7"/>
      <c r="QOB7" s="10"/>
      <c r="QOC7" s="10"/>
      <c r="QOD7" s="10"/>
      <c r="QOF7" s="10"/>
      <c r="QOQ7" s="7"/>
      <c r="QOR7" s="10"/>
      <c r="QOS7" s="10"/>
      <c r="QOT7" s="10"/>
      <c r="QOV7" s="10"/>
      <c r="QPG7" s="7"/>
      <c r="QPH7" s="10"/>
      <c r="QPI7" s="10"/>
      <c r="QPJ7" s="10"/>
      <c r="QPL7" s="10"/>
      <c r="QPW7" s="7"/>
      <c r="QPX7" s="10"/>
      <c r="QPY7" s="10"/>
      <c r="QPZ7" s="10"/>
      <c r="QQB7" s="10"/>
      <c r="QQM7" s="7"/>
      <c r="QQN7" s="10"/>
      <c r="QQO7" s="10"/>
      <c r="QQP7" s="10"/>
      <c r="QQR7" s="10"/>
      <c r="QRC7" s="7"/>
      <c r="QRD7" s="10"/>
      <c r="QRE7" s="10"/>
      <c r="QRF7" s="10"/>
      <c r="QRH7" s="10"/>
      <c r="QRS7" s="7"/>
      <c r="QRT7" s="10"/>
      <c r="QRU7" s="10"/>
      <c r="QRV7" s="10"/>
      <c r="QRX7" s="10"/>
      <c r="QSI7" s="7"/>
      <c r="QSJ7" s="10"/>
      <c r="QSK7" s="10"/>
      <c r="QSL7" s="10"/>
      <c r="QSN7" s="10"/>
      <c r="QSY7" s="7"/>
      <c r="QSZ7" s="10"/>
      <c r="QTA7" s="10"/>
      <c r="QTB7" s="10"/>
      <c r="QTD7" s="10"/>
      <c r="QTO7" s="7"/>
      <c r="QTP7" s="10"/>
      <c r="QTQ7" s="10"/>
      <c r="QTR7" s="10"/>
      <c r="QTT7" s="10"/>
      <c r="QUE7" s="7"/>
      <c r="QUF7" s="10"/>
      <c r="QUG7" s="10"/>
      <c r="QUH7" s="10"/>
      <c r="QUJ7" s="10"/>
      <c r="QUU7" s="7"/>
      <c r="QUV7" s="10"/>
      <c r="QUW7" s="10"/>
      <c r="QUX7" s="10"/>
      <c r="QUZ7" s="10"/>
      <c r="QVK7" s="7"/>
      <c r="QVL7" s="10"/>
      <c r="QVM7" s="10"/>
      <c r="QVN7" s="10"/>
      <c r="QVP7" s="10"/>
      <c r="QWA7" s="7"/>
      <c r="QWB7" s="10"/>
      <c r="QWC7" s="10"/>
      <c r="QWD7" s="10"/>
      <c r="QWF7" s="10"/>
      <c r="QWQ7" s="7"/>
      <c r="QWR7" s="10"/>
      <c r="QWS7" s="10"/>
      <c r="QWT7" s="10"/>
      <c r="QWV7" s="10"/>
      <c r="QXG7" s="7"/>
      <c r="QXH7" s="10"/>
      <c r="QXI7" s="10"/>
      <c r="QXJ7" s="10"/>
      <c r="QXL7" s="10"/>
      <c r="QXW7" s="7"/>
      <c r="QXX7" s="10"/>
      <c r="QXY7" s="10"/>
      <c r="QXZ7" s="10"/>
      <c r="QYB7" s="10"/>
      <c r="QYM7" s="7"/>
      <c r="QYN7" s="10"/>
      <c r="QYO7" s="10"/>
      <c r="QYP7" s="10"/>
      <c r="QYR7" s="10"/>
      <c r="QZC7" s="7"/>
      <c r="QZD7" s="10"/>
      <c r="QZE7" s="10"/>
      <c r="QZF7" s="10"/>
      <c r="QZH7" s="10"/>
      <c r="QZS7" s="7"/>
      <c r="QZT7" s="10"/>
      <c r="QZU7" s="10"/>
      <c r="QZV7" s="10"/>
      <c r="QZX7" s="10"/>
      <c r="RAI7" s="7"/>
      <c r="RAJ7" s="10"/>
      <c r="RAK7" s="10"/>
      <c r="RAL7" s="10"/>
      <c r="RAN7" s="10"/>
      <c r="RAY7" s="7"/>
      <c r="RAZ7" s="10"/>
      <c r="RBA7" s="10"/>
      <c r="RBB7" s="10"/>
      <c r="RBD7" s="10"/>
      <c r="RBO7" s="7"/>
      <c r="RBP7" s="10"/>
      <c r="RBQ7" s="10"/>
      <c r="RBR7" s="10"/>
      <c r="RBT7" s="10"/>
      <c r="RCE7" s="7"/>
      <c r="RCF7" s="10"/>
      <c r="RCG7" s="10"/>
      <c r="RCH7" s="10"/>
      <c r="RCJ7" s="10"/>
      <c r="RCU7" s="7"/>
      <c r="RCV7" s="10"/>
      <c r="RCW7" s="10"/>
      <c r="RCX7" s="10"/>
      <c r="RCZ7" s="10"/>
      <c r="RDK7" s="7"/>
      <c r="RDL7" s="10"/>
      <c r="RDM7" s="10"/>
      <c r="RDN7" s="10"/>
      <c r="RDP7" s="10"/>
      <c r="REA7" s="7"/>
      <c r="REB7" s="10"/>
      <c r="REC7" s="10"/>
      <c r="RED7" s="10"/>
      <c r="REF7" s="10"/>
      <c r="REQ7" s="7"/>
      <c r="RER7" s="10"/>
      <c r="RES7" s="10"/>
      <c r="RET7" s="10"/>
      <c r="REV7" s="10"/>
      <c r="RFG7" s="7"/>
      <c r="RFH7" s="10"/>
      <c r="RFI7" s="10"/>
      <c r="RFJ7" s="10"/>
      <c r="RFL7" s="10"/>
      <c r="RFW7" s="7"/>
      <c r="RFX7" s="10"/>
      <c r="RFY7" s="10"/>
      <c r="RFZ7" s="10"/>
      <c r="RGB7" s="10"/>
      <c r="RGM7" s="7"/>
      <c r="RGN7" s="10"/>
      <c r="RGO7" s="10"/>
      <c r="RGP7" s="10"/>
      <c r="RGR7" s="10"/>
      <c r="RHC7" s="7"/>
      <c r="RHD7" s="10"/>
      <c r="RHE7" s="10"/>
      <c r="RHF7" s="10"/>
      <c r="RHH7" s="10"/>
      <c r="RHS7" s="7"/>
      <c r="RHT7" s="10"/>
      <c r="RHU7" s="10"/>
      <c r="RHV7" s="10"/>
      <c r="RHX7" s="10"/>
      <c r="RII7" s="7"/>
      <c r="RIJ7" s="10"/>
      <c r="RIK7" s="10"/>
      <c r="RIL7" s="10"/>
      <c r="RIN7" s="10"/>
      <c r="RIY7" s="7"/>
      <c r="RIZ7" s="10"/>
      <c r="RJA7" s="10"/>
      <c r="RJB7" s="10"/>
      <c r="RJD7" s="10"/>
      <c r="RJO7" s="7"/>
      <c r="RJP7" s="10"/>
      <c r="RJQ7" s="10"/>
      <c r="RJR7" s="10"/>
      <c r="RJT7" s="10"/>
      <c r="RKE7" s="7"/>
      <c r="RKF7" s="10"/>
      <c r="RKG7" s="10"/>
      <c r="RKH7" s="10"/>
      <c r="RKJ7" s="10"/>
      <c r="RKU7" s="7"/>
      <c r="RKV7" s="10"/>
      <c r="RKW7" s="10"/>
      <c r="RKX7" s="10"/>
      <c r="RKZ7" s="10"/>
      <c r="RLK7" s="7"/>
      <c r="RLL7" s="10"/>
      <c r="RLM7" s="10"/>
      <c r="RLN7" s="10"/>
      <c r="RLP7" s="10"/>
      <c r="RMA7" s="7"/>
      <c r="RMB7" s="10"/>
      <c r="RMC7" s="10"/>
      <c r="RMD7" s="10"/>
      <c r="RMF7" s="10"/>
      <c r="RMQ7" s="7"/>
      <c r="RMR7" s="10"/>
      <c r="RMS7" s="10"/>
      <c r="RMT7" s="10"/>
      <c r="RMV7" s="10"/>
      <c r="RNG7" s="7"/>
      <c r="RNH7" s="10"/>
      <c r="RNI7" s="10"/>
      <c r="RNJ7" s="10"/>
      <c r="RNL7" s="10"/>
      <c r="RNW7" s="7"/>
      <c r="RNX7" s="10"/>
      <c r="RNY7" s="10"/>
      <c r="RNZ7" s="10"/>
      <c r="ROB7" s="10"/>
      <c r="ROM7" s="7"/>
      <c r="RON7" s="10"/>
      <c r="ROO7" s="10"/>
      <c r="ROP7" s="10"/>
      <c r="ROR7" s="10"/>
      <c r="RPC7" s="7"/>
      <c r="RPD7" s="10"/>
      <c r="RPE7" s="10"/>
      <c r="RPF7" s="10"/>
      <c r="RPH7" s="10"/>
      <c r="RPS7" s="7"/>
      <c r="RPT7" s="10"/>
      <c r="RPU7" s="10"/>
      <c r="RPV7" s="10"/>
      <c r="RPX7" s="10"/>
      <c r="RQI7" s="7"/>
      <c r="RQJ7" s="10"/>
      <c r="RQK7" s="10"/>
      <c r="RQL7" s="10"/>
      <c r="RQN7" s="10"/>
      <c r="RQY7" s="7"/>
      <c r="RQZ7" s="10"/>
      <c r="RRA7" s="10"/>
      <c r="RRB7" s="10"/>
      <c r="RRD7" s="10"/>
      <c r="RRO7" s="7"/>
      <c r="RRP7" s="10"/>
      <c r="RRQ7" s="10"/>
      <c r="RRR7" s="10"/>
      <c r="RRT7" s="10"/>
      <c r="RSE7" s="7"/>
      <c r="RSF7" s="10"/>
      <c r="RSG7" s="10"/>
      <c r="RSH7" s="10"/>
      <c r="RSJ7" s="10"/>
      <c r="RSU7" s="7"/>
      <c r="RSV7" s="10"/>
      <c r="RSW7" s="10"/>
      <c r="RSX7" s="10"/>
      <c r="RSZ7" s="10"/>
      <c r="RTK7" s="7"/>
      <c r="RTL7" s="10"/>
      <c r="RTM7" s="10"/>
      <c r="RTN7" s="10"/>
      <c r="RTP7" s="10"/>
      <c r="RUA7" s="7"/>
      <c r="RUB7" s="10"/>
      <c r="RUC7" s="10"/>
      <c r="RUD7" s="10"/>
      <c r="RUF7" s="10"/>
      <c r="RUQ7" s="7"/>
      <c r="RUR7" s="10"/>
      <c r="RUS7" s="10"/>
      <c r="RUT7" s="10"/>
      <c r="RUV7" s="10"/>
      <c r="RVG7" s="7"/>
      <c r="RVH7" s="10"/>
      <c r="RVI7" s="10"/>
      <c r="RVJ7" s="10"/>
      <c r="RVL7" s="10"/>
      <c r="RVW7" s="7"/>
      <c r="RVX7" s="10"/>
      <c r="RVY7" s="10"/>
      <c r="RVZ7" s="10"/>
      <c r="RWB7" s="10"/>
      <c r="RWM7" s="7"/>
      <c r="RWN7" s="10"/>
      <c r="RWO7" s="10"/>
      <c r="RWP7" s="10"/>
      <c r="RWR7" s="10"/>
      <c r="RXC7" s="7"/>
      <c r="RXD7" s="10"/>
      <c r="RXE7" s="10"/>
      <c r="RXF7" s="10"/>
      <c r="RXH7" s="10"/>
      <c r="RXS7" s="7"/>
      <c r="RXT7" s="10"/>
      <c r="RXU7" s="10"/>
      <c r="RXV7" s="10"/>
      <c r="RXX7" s="10"/>
      <c r="RYI7" s="7"/>
      <c r="RYJ7" s="10"/>
      <c r="RYK7" s="10"/>
      <c r="RYL7" s="10"/>
      <c r="RYN7" s="10"/>
      <c r="RYY7" s="7"/>
      <c r="RYZ7" s="10"/>
      <c r="RZA7" s="10"/>
      <c r="RZB7" s="10"/>
      <c r="RZD7" s="10"/>
      <c r="RZO7" s="7"/>
      <c r="RZP7" s="10"/>
      <c r="RZQ7" s="10"/>
      <c r="RZR7" s="10"/>
      <c r="RZT7" s="10"/>
      <c r="SAE7" s="7"/>
      <c r="SAF7" s="10"/>
      <c r="SAG7" s="10"/>
      <c r="SAH7" s="10"/>
      <c r="SAJ7" s="10"/>
      <c r="SAU7" s="7"/>
      <c r="SAV7" s="10"/>
      <c r="SAW7" s="10"/>
      <c r="SAX7" s="10"/>
      <c r="SAZ7" s="10"/>
      <c r="SBK7" s="7"/>
      <c r="SBL7" s="10"/>
      <c r="SBM7" s="10"/>
      <c r="SBN7" s="10"/>
      <c r="SBP7" s="10"/>
      <c r="SCA7" s="7"/>
      <c r="SCB7" s="10"/>
      <c r="SCC7" s="10"/>
      <c r="SCD7" s="10"/>
      <c r="SCF7" s="10"/>
      <c r="SCQ7" s="7"/>
      <c r="SCR7" s="10"/>
      <c r="SCS7" s="10"/>
      <c r="SCT7" s="10"/>
      <c r="SCV7" s="10"/>
      <c r="SDG7" s="7"/>
      <c r="SDH7" s="10"/>
      <c r="SDI7" s="10"/>
      <c r="SDJ7" s="10"/>
      <c r="SDL7" s="10"/>
      <c r="SDW7" s="7"/>
      <c r="SDX7" s="10"/>
      <c r="SDY7" s="10"/>
      <c r="SDZ7" s="10"/>
      <c r="SEB7" s="10"/>
      <c r="SEM7" s="7"/>
      <c r="SEN7" s="10"/>
      <c r="SEO7" s="10"/>
      <c r="SEP7" s="10"/>
      <c r="SER7" s="10"/>
      <c r="SFC7" s="7"/>
      <c r="SFD7" s="10"/>
      <c r="SFE7" s="10"/>
      <c r="SFF7" s="10"/>
      <c r="SFH7" s="10"/>
      <c r="SFS7" s="7"/>
      <c r="SFT7" s="10"/>
      <c r="SFU7" s="10"/>
      <c r="SFV7" s="10"/>
      <c r="SFX7" s="10"/>
      <c r="SGI7" s="7"/>
      <c r="SGJ7" s="10"/>
      <c r="SGK7" s="10"/>
      <c r="SGL7" s="10"/>
      <c r="SGN7" s="10"/>
      <c r="SGY7" s="7"/>
      <c r="SGZ7" s="10"/>
      <c r="SHA7" s="10"/>
      <c r="SHB7" s="10"/>
      <c r="SHD7" s="10"/>
      <c r="SHO7" s="7"/>
      <c r="SHP7" s="10"/>
      <c r="SHQ7" s="10"/>
      <c r="SHR7" s="10"/>
      <c r="SHT7" s="10"/>
      <c r="SIE7" s="7"/>
      <c r="SIF7" s="10"/>
      <c r="SIG7" s="10"/>
      <c r="SIH7" s="10"/>
      <c r="SIJ7" s="10"/>
      <c r="SIU7" s="7"/>
      <c r="SIV7" s="10"/>
      <c r="SIW7" s="10"/>
      <c r="SIX7" s="10"/>
      <c r="SIZ7" s="10"/>
      <c r="SJK7" s="7"/>
      <c r="SJL7" s="10"/>
      <c r="SJM7" s="10"/>
      <c r="SJN7" s="10"/>
      <c r="SJP7" s="10"/>
      <c r="SKA7" s="7"/>
      <c r="SKB7" s="10"/>
      <c r="SKC7" s="10"/>
      <c r="SKD7" s="10"/>
      <c r="SKF7" s="10"/>
      <c r="SKQ7" s="7"/>
      <c r="SKR7" s="10"/>
      <c r="SKS7" s="10"/>
      <c r="SKT7" s="10"/>
      <c r="SKV7" s="10"/>
      <c r="SLG7" s="7"/>
      <c r="SLH7" s="10"/>
      <c r="SLI7" s="10"/>
      <c r="SLJ7" s="10"/>
      <c r="SLL7" s="10"/>
      <c r="SLW7" s="7"/>
      <c r="SLX7" s="10"/>
      <c r="SLY7" s="10"/>
      <c r="SLZ7" s="10"/>
      <c r="SMB7" s="10"/>
      <c r="SMM7" s="7"/>
      <c r="SMN7" s="10"/>
      <c r="SMO7" s="10"/>
      <c r="SMP7" s="10"/>
      <c r="SMR7" s="10"/>
      <c r="SNC7" s="7"/>
      <c r="SND7" s="10"/>
      <c r="SNE7" s="10"/>
      <c r="SNF7" s="10"/>
      <c r="SNH7" s="10"/>
      <c r="SNS7" s="7"/>
      <c r="SNT7" s="10"/>
      <c r="SNU7" s="10"/>
      <c r="SNV7" s="10"/>
      <c r="SNX7" s="10"/>
      <c r="SOI7" s="7"/>
      <c r="SOJ7" s="10"/>
      <c r="SOK7" s="10"/>
      <c r="SOL7" s="10"/>
      <c r="SON7" s="10"/>
      <c r="SOY7" s="7"/>
      <c r="SOZ7" s="10"/>
      <c r="SPA7" s="10"/>
      <c r="SPB7" s="10"/>
      <c r="SPD7" s="10"/>
      <c r="SPO7" s="7"/>
      <c r="SPP7" s="10"/>
      <c r="SPQ7" s="10"/>
      <c r="SPR7" s="10"/>
      <c r="SPT7" s="10"/>
      <c r="SQE7" s="7"/>
      <c r="SQF7" s="10"/>
      <c r="SQG7" s="10"/>
      <c r="SQH7" s="10"/>
      <c r="SQJ7" s="10"/>
      <c r="SQU7" s="7"/>
      <c r="SQV7" s="10"/>
      <c r="SQW7" s="10"/>
      <c r="SQX7" s="10"/>
      <c r="SQZ7" s="10"/>
      <c r="SRK7" s="7"/>
      <c r="SRL7" s="10"/>
      <c r="SRM7" s="10"/>
      <c r="SRN7" s="10"/>
      <c r="SRP7" s="10"/>
      <c r="SSA7" s="7"/>
      <c r="SSB7" s="10"/>
      <c r="SSC7" s="10"/>
      <c r="SSD7" s="10"/>
      <c r="SSF7" s="10"/>
      <c r="SSQ7" s="7"/>
      <c r="SSR7" s="10"/>
      <c r="SSS7" s="10"/>
      <c r="SST7" s="10"/>
      <c r="SSV7" s="10"/>
      <c r="STG7" s="7"/>
      <c r="STH7" s="10"/>
      <c r="STI7" s="10"/>
      <c r="STJ7" s="10"/>
      <c r="STL7" s="10"/>
      <c r="STW7" s="7"/>
      <c r="STX7" s="10"/>
      <c r="STY7" s="10"/>
      <c r="STZ7" s="10"/>
      <c r="SUB7" s="10"/>
      <c r="SUM7" s="7"/>
      <c r="SUN7" s="10"/>
      <c r="SUO7" s="10"/>
      <c r="SUP7" s="10"/>
      <c r="SUR7" s="10"/>
      <c r="SVC7" s="7"/>
      <c r="SVD7" s="10"/>
      <c r="SVE7" s="10"/>
      <c r="SVF7" s="10"/>
      <c r="SVH7" s="10"/>
      <c r="SVS7" s="7"/>
      <c r="SVT7" s="10"/>
      <c r="SVU7" s="10"/>
      <c r="SVV7" s="10"/>
      <c r="SVX7" s="10"/>
      <c r="SWI7" s="7"/>
      <c r="SWJ7" s="10"/>
      <c r="SWK7" s="10"/>
      <c r="SWL7" s="10"/>
      <c r="SWN7" s="10"/>
      <c r="SWY7" s="7"/>
      <c r="SWZ7" s="10"/>
      <c r="SXA7" s="10"/>
      <c r="SXB7" s="10"/>
      <c r="SXD7" s="10"/>
      <c r="SXO7" s="7"/>
      <c r="SXP7" s="10"/>
      <c r="SXQ7" s="10"/>
      <c r="SXR7" s="10"/>
      <c r="SXT7" s="10"/>
      <c r="SYE7" s="7"/>
      <c r="SYF7" s="10"/>
      <c r="SYG7" s="10"/>
      <c r="SYH7" s="10"/>
      <c r="SYJ7" s="10"/>
      <c r="SYU7" s="7"/>
      <c r="SYV7" s="10"/>
      <c r="SYW7" s="10"/>
      <c r="SYX7" s="10"/>
      <c r="SYZ7" s="10"/>
      <c r="SZK7" s="7"/>
      <c r="SZL7" s="10"/>
      <c r="SZM7" s="10"/>
      <c r="SZN7" s="10"/>
      <c r="SZP7" s="10"/>
      <c r="TAA7" s="7"/>
      <c r="TAB7" s="10"/>
      <c r="TAC7" s="10"/>
      <c r="TAD7" s="10"/>
      <c r="TAF7" s="10"/>
      <c r="TAQ7" s="7"/>
      <c r="TAR7" s="10"/>
      <c r="TAS7" s="10"/>
      <c r="TAT7" s="10"/>
      <c r="TAV7" s="10"/>
      <c r="TBG7" s="7"/>
      <c r="TBH7" s="10"/>
      <c r="TBI7" s="10"/>
      <c r="TBJ7" s="10"/>
      <c r="TBL7" s="10"/>
      <c r="TBW7" s="7"/>
      <c r="TBX7" s="10"/>
      <c r="TBY7" s="10"/>
      <c r="TBZ7" s="10"/>
      <c r="TCB7" s="10"/>
      <c r="TCM7" s="7"/>
      <c r="TCN7" s="10"/>
      <c r="TCO7" s="10"/>
      <c r="TCP7" s="10"/>
      <c r="TCR7" s="10"/>
      <c r="TDC7" s="7"/>
      <c r="TDD7" s="10"/>
      <c r="TDE7" s="10"/>
      <c r="TDF7" s="10"/>
      <c r="TDH7" s="10"/>
      <c r="TDS7" s="7"/>
      <c r="TDT7" s="10"/>
      <c r="TDU7" s="10"/>
      <c r="TDV7" s="10"/>
      <c r="TDX7" s="10"/>
      <c r="TEI7" s="7"/>
      <c r="TEJ7" s="10"/>
      <c r="TEK7" s="10"/>
      <c r="TEL7" s="10"/>
      <c r="TEN7" s="10"/>
      <c r="TEY7" s="7"/>
      <c r="TEZ7" s="10"/>
      <c r="TFA7" s="10"/>
      <c r="TFB7" s="10"/>
      <c r="TFD7" s="10"/>
      <c r="TFO7" s="7"/>
      <c r="TFP7" s="10"/>
      <c r="TFQ7" s="10"/>
      <c r="TFR7" s="10"/>
      <c r="TFT7" s="10"/>
      <c r="TGE7" s="7"/>
      <c r="TGF7" s="10"/>
      <c r="TGG7" s="10"/>
      <c r="TGH7" s="10"/>
      <c r="TGJ7" s="10"/>
      <c r="TGU7" s="7"/>
      <c r="TGV7" s="10"/>
      <c r="TGW7" s="10"/>
      <c r="TGX7" s="10"/>
      <c r="TGZ7" s="10"/>
      <c r="THK7" s="7"/>
      <c r="THL7" s="10"/>
      <c r="THM7" s="10"/>
      <c r="THN7" s="10"/>
      <c r="THP7" s="10"/>
      <c r="TIA7" s="7"/>
      <c r="TIB7" s="10"/>
      <c r="TIC7" s="10"/>
      <c r="TID7" s="10"/>
      <c r="TIF7" s="10"/>
      <c r="TIQ7" s="7"/>
      <c r="TIR7" s="10"/>
      <c r="TIS7" s="10"/>
      <c r="TIT7" s="10"/>
      <c r="TIV7" s="10"/>
      <c r="TJG7" s="7"/>
      <c r="TJH7" s="10"/>
      <c r="TJI7" s="10"/>
      <c r="TJJ7" s="10"/>
      <c r="TJL7" s="10"/>
      <c r="TJW7" s="7"/>
      <c r="TJX7" s="10"/>
      <c r="TJY7" s="10"/>
      <c r="TJZ7" s="10"/>
      <c r="TKB7" s="10"/>
      <c r="TKM7" s="7"/>
      <c r="TKN7" s="10"/>
      <c r="TKO7" s="10"/>
      <c r="TKP7" s="10"/>
      <c r="TKR7" s="10"/>
      <c r="TLC7" s="7"/>
      <c r="TLD7" s="10"/>
      <c r="TLE7" s="10"/>
      <c r="TLF7" s="10"/>
      <c r="TLH7" s="10"/>
      <c r="TLS7" s="7"/>
      <c r="TLT7" s="10"/>
      <c r="TLU7" s="10"/>
      <c r="TLV7" s="10"/>
      <c r="TLX7" s="10"/>
      <c r="TMI7" s="7"/>
      <c r="TMJ7" s="10"/>
      <c r="TMK7" s="10"/>
      <c r="TML7" s="10"/>
      <c r="TMN7" s="10"/>
      <c r="TMY7" s="7"/>
      <c r="TMZ7" s="10"/>
      <c r="TNA7" s="10"/>
      <c r="TNB7" s="10"/>
      <c r="TND7" s="10"/>
      <c r="TNO7" s="7"/>
      <c r="TNP7" s="10"/>
      <c r="TNQ7" s="10"/>
      <c r="TNR7" s="10"/>
      <c r="TNT7" s="10"/>
      <c r="TOE7" s="7"/>
      <c r="TOF7" s="10"/>
      <c r="TOG7" s="10"/>
      <c r="TOH7" s="10"/>
      <c r="TOJ7" s="10"/>
      <c r="TOU7" s="7"/>
      <c r="TOV7" s="10"/>
      <c r="TOW7" s="10"/>
      <c r="TOX7" s="10"/>
      <c r="TOZ7" s="10"/>
      <c r="TPK7" s="7"/>
      <c r="TPL7" s="10"/>
      <c r="TPM7" s="10"/>
      <c r="TPN7" s="10"/>
      <c r="TPP7" s="10"/>
      <c r="TQA7" s="7"/>
      <c r="TQB7" s="10"/>
      <c r="TQC7" s="10"/>
      <c r="TQD7" s="10"/>
      <c r="TQF7" s="10"/>
      <c r="TQQ7" s="7"/>
      <c r="TQR7" s="10"/>
      <c r="TQS7" s="10"/>
      <c r="TQT7" s="10"/>
      <c r="TQV7" s="10"/>
      <c r="TRG7" s="7"/>
      <c r="TRH7" s="10"/>
      <c r="TRI7" s="10"/>
      <c r="TRJ7" s="10"/>
      <c r="TRL7" s="10"/>
      <c r="TRW7" s="7"/>
      <c r="TRX7" s="10"/>
      <c r="TRY7" s="10"/>
      <c r="TRZ7" s="10"/>
      <c r="TSB7" s="10"/>
      <c r="TSM7" s="7"/>
      <c r="TSN7" s="10"/>
      <c r="TSO7" s="10"/>
      <c r="TSP7" s="10"/>
      <c r="TSR7" s="10"/>
      <c r="TTC7" s="7"/>
      <c r="TTD7" s="10"/>
      <c r="TTE7" s="10"/>
      <c r="TTF7" s="10"/>
      <c r="TTH7" s="10"/>
      <c r="TTS7" s="7"/>
      <c r="TTT7" s="10"/>
      <c r="TTU7" s="10"/>
      <c r="TTV7" s="10"/>
      <c r="TTX7" s="10"/>
      <c r="TUI7" s="7"/>
      <c r="TUJ7" s="10"/>
      <c r="TUK7" s="10"/>
      <c r="TUL7" s="10"/>
      <c r="TUN7" s="10"/>
      <c r="TUY7" s="7"/>
      <c r="TUZ7" s="10"/>
      <c r="TVA7" s="10"/>
      <c r="TVB7" s="10"/>
      <c r="TVD7" s="10"/>
      <c r="TVO7" s="7"/>
      <c r="TVP7" s="10"/>
      <c r="TVQ7" s="10"/>
      <c r="TVR7" s="10"/>
      <c r="TVT7" s="10"/>
      <c r="TWE7" s="7"/>
      <c r="TWF7" s="10"/>
      <c r="TWG7" s="10"/>
      <c r="TWH7" s="10"/>
      <c r="TWJ7" s="10"/>
      <c r="TWU7" s="7"/>
      <c r="TWV7" s="10"/>
      <c r="TWW7" s="10"/>
      <c r="TWX7" s="10"/>
      <c r="TWZ7" s="10"/>
      <c r="TXK7" s="7"/>
      <c r="TXL7" s="10"/>
      <c r="TXM7" s="10"/>
      <c r="TXN7" s="10"/>
      <c r="TXP7" s="10"/>
      <c r="TYA7" s="7"/>
      <c r="TYB7" s="10"/>
      <c r="TYC7" s="10"/>
      <c r="TYD7" s="10"/>
      <c r="TYF7" s="10"/>
      <c r="TYQ7" s="7"/>
      <c r="TYR7" s="10"/>
      <c r="TYS7" s="10"/>
      <c r="TYT7" s="10"/>
      <c r="TYV7" s="10"/>
      <c r="TZG7" s="7"/>
      <c r="TZH7" s="10"/>
      <c r="TZI7" s="10"/>
      <c r="TZJ7" s="10"/>
      <c r="TZL7" s="10"/>
      <c r="TZW7" s="7"/>
      <c r="TZX7" s="10"/>
      <c r="TZY7" s="10"/>
      <c r="TZZ7" s="10"/>
      <c r="UAB7" s="10"/>
      <c r="UAM7" s="7"/>
      <c r="UAN7" s="10"/>
      <c r="UAO7" s="10"/>
      <c r="UAP7" s="10"/>
      <c r="UAR7" s="10"/>
      <c r="UBC7" s="7"/>
      <c r="UBD7" s="10"/>
      <c r="UBE7" s="10"/>
      <c r="UBF7" s="10"/>
      <c r="UBH7" s="10"/>
      <c r="UBS7" s="7"/>
      <c r="UBT7" s="10"/>
      <c r="UBU7" s="10"/>
      <c r="UBV7" s="10"/>
      <c r="UBX7" s="10"/>
      <c r="UCI7" s="7"/>
      <c r="UCJ7" s="10"/>
      <c r="UCK7" s="10"/>
      <c r="UCL7" s="10"/>
      <c r="UCN7" s="10"/>
      <c r="UCY7" s="7"/>
      <c r="UCZ7" s="10"/>
      <c r="UDA7" s="10"/>
      <c r="UDB7" s="10"/>
      <c r="UDD7" s="10"/>
      <c r="UDO7" s="7"/>
      <c r="UDP7" s="10"/>
      <c r="UDQ7" s="10"/>
      <c r="UDR7" s="10"/>
      <c r="UDT7" s="10"/>
      <c r="UEE7" s="7"/>
      <c r="UEF7" s="10"/>
      <c r="UEG7" s="10"/>
      <c r="UEH7" s="10"/>
      <c r="UEJ7" s="10"/>
      <c r="UEU7" s="7"/>
      <c r="UEV7" s="10"/>
      <c r="UEW7" s="10"/>
      <c r="UEX7" s="10"/>
      <c r="UEZ7" s="10"/>
      <c r="UFK7" s="7"/>
      <c r="UFL7" s="10"/>
      <c r="UFM7" s="10"/>
      <c r="UFN7" s="10"/>
      <c r="UFP7" s="10"/>
      <c r="UGA7" s="7"/>
      <c r="UGB7" s="10"/>
      <c r="UGC7" s="10"/>
      <c r="UGD7" s="10"/>
      <c r="UGF7" s="10"/>
      <c r="UGQ7" s="7"/>
      <c r="UGR7" s="10"/>
      <c r="UGS7" s="10"/>
      <c r="UGT7" s="10"/>
      <c r="UGV7" s="10"/>
      <c r="UHG7" s="7"/>
      <c r="UHH7" s="10"/>
      <c r="UHI7" s="10"/>
      <c r="UHJ7" s="10"/>
      <c r="UHL7" s="10"/>
      <c r="UHW7" s="7"/>
      <c r="UHX7" s="10"/>
      <c r="UHY7" s="10"/>
      <c r="UHZ7" s="10"/>
      <c r="UIB7" s="10"/>
      <c r="UIM7" s="7"/>
      <c r="UIN7" s="10"/>
      <c r="UIO7" s="10"/>
      <c r="UIP7" s="10"/>
      <c r="UIR7" s="10"/>
      <c r="UJC7" s="7"/>
      <c r="UJD7" s="10"/>
      <c r="UJE7" s="10"/>
      <c r="UJF7" s="10"/>
      <c r="UJH7" s="10"/>
      <c r="UJS7" s="7"/>
      <c r="UJT7" s="10"/>
      <c r="UJU7" s="10"/>
      <c r="UJV7" s="10"/>
      <c r="UJX7" s="10"/>
      <c r="UKI7" s="7"/>
      <c r="UKJ7" s="10"/>
      <c r="UKK7" s="10"/>
      <c r="UKL7" s="10"/>
      <c r="UKN7" s="10"/>
      <c r="UKY7" s="7"/>
      <c r="UKZ7" s="10"/>
      <c r="ULA7" s="10"/>
      <c r="ULB7" s="10"/>
      <c r="ULD7" s="10"/>
      <c r="ULO7" s="7"/>
      <c r="ULP7" s="10"/>
      <c r="ULQ7" s="10"/>
      <c r="ULR7" s="10"/>
      <c r="ULT7" s="10"/>
      <c r="UME7" s="7"/>
      <c r="UMF7" s="10"/>
      <c r="UMG7" s="10"/>
      <c r="UMH7" s="10"/>
      <c r="UMJ7" s="10"/>
      <c r="UMU7" s="7"/>
      <c r="UMV7" s="10"/>
      <c r="UMW7" s="10"/>
      <c r="UMX7" s="10"/>
      <c r="UMZ7" s="10"/>
      <c r="UNK7" s="7"/>
      <c r="UNL7" s="10"/>
      <c r="UNM7" s="10"/>
      <c r="UNN7" s="10"/>
      <c r="UNP7" s="10"/>
      <c r="UOA7" s="7"/>
      <c r="UOB7" s="10"/>
      <c r="UOC7" s="10"/>
      <c r="UOD7" s="10"/>
      <c r="UOF7" s="10"/>
      <c r="UOQ7" s="7"/>
      <c r="UOR7" s="10"/>
      <c r="UOS7" s="10"/>
      <c r="UOT7" s="10"/>
      <c r="UOV7" s="10"/>
      <c r="UPG7" s="7"/>
      <c r="UPH7" s="10"/>
      <c r="UPI7" s="10"/>
      <c r="UPJ7" s="10"/>
      <c r="UPL7" s="10"/>
      <c r="UPW7" s="7"/>
      <c r="UPX7" s="10"/>
      <c r="UPY7" s="10"/>
      <c r="UPZ7" s="10"/>
      <c r="UQB7" s="10"/>
      <c r="UQM7" s="7"/>
      <c r="UQN7" s="10"/>
      <c r="UQO7" s="10"/>
      <c r="UQP7" s="10"/>
      <c r="UQR7" s="10"/>
      <c r="URC7" s="7"/>
      <c r="URD7" s="10"/>
      <c r="URE7" s="10"/>
      <c r="URF7" s="10"/>
      <c r="URH7" s="10"/>
      <c r="URS7" s="7"/>
      <c r="URT7" s="10"/>
      <c r="URU7" s="10"/>
      <c r="URV7" s="10"/>
      <c r="URX7" s="10"/>
      <c r="USI7" s="7"/>
      <c r="USJ7" s="10"/>
      <c r="USK7" s="10"/>
      <c r="USL7" s="10"/>
      <c r="USN7" s="10"/>
      <c r="USY7" s="7"/>
      <c r="USZ7" s="10"/>
      <c r="UTA7" s="10"/>
      <c r="UTB7" s="10"/>
      <c r="UTD7" s="10"/>
      <c r="UTO7" s="7"/>
      <c r="UTP7" s="10"/>
      <c r="UTQ7" s="10"/>
      <c r="UTR7" s="10"/>
      <c r="UTT7" s="10"/>
      <c r="UUE7" s="7"/>
      <c r="UUF7" s="10"/>
      <c r="UUG7" s="10"/>
      <c r="UUH7" s="10"/>
      <c r="UUJ7" s="10"/>
      <c r="UUU7" s="7"/>
      <c r="UUV7" s="10"/>
      <c r="UUW7" s="10"/>
      <c r="UUX7" s="10"/>
      <c r="UUZ7" s="10"/>
      <c r="UVK7" s="7"/>
      <c r="UVL7" s="10"/>
      <c r="UVM7" s="10"/>
      <c r="UVN7" s="10"/>
      <c r="UVP7" s="10"/>
      <c r="UWA7" s="7"/>
      <c r="UWB7" s="10"/>
      <c r="UWC7" s="10"/>
      <c r="UWD7" s="10"/>
      <c r="UWF7" s="10"/>
      <c r="UWQ7" s="7"/>
      <c r="UWR7" s="10"/>
      <c r="UWS7" s="10"/>
      <c r="UWT7" s="10"/>
      <c r="UWV7" s="10"/>
      <c r="UXG7" s="7"/>
      <c r="UXH7" s="10"/>
      <c r="UXI7" s="10"/>
      <c r="UXJ7" s="10"/>
      <c r="UXL7" s="10"/>
      <c r="UXW7" s="7"/>
      <c r="UXX7" s="10"/>
      <c r="UXY7" s="10"/>
      <c r="UXZ7" s="10"/>
      <c r="UYB7" s="10"/>
      <c r="UYM7" s="7"/>
      <c r="UYN7" s="10"/>
      <c r="UYO7" s="10"/>
      <c r="UYP7" s="10"/>
      <c r="UYR7" s="10"/>
      <c r="UZC7" s="7"/>
      <c r="UZD7" s="10"/>
      <c r="UZE7" s="10"/>
      <c r="UZF7" s="10"/>
      <c r="UZH7" s="10"/>
      <c r="UZS7" s="7"/>
      <c r="UZT7" s="10"/>
      <c r="UZU7" s="10"/>
      <c r="UZV7" s="10"/>
      <c r="UZX7" s="10"/>
      <c r="VAI7" s="7"/>
      <c r="VAJ7" s="10"/>
      <c r="VAK7" s="10"/>
      <c r="VAL7" s="10"/>
      <c r="VAN7" s="10"/>
      <c r="VAY7" s="7"/>
      <c r="VAZ7" s="10"/>
      <c r="VBA7" s="10"/>
      <c r="VBB7" s="10"/>
      <c r="VBD7" s="10"/>
      <c r="VBO7" s="7"/>
      <c r="VBP7" s="10"/>
      <c r="VBQ7" s="10"/>
      <c r="VBR7" s="10"/>
      <c r="VBT7" s="10"/>
      <c r="VCE7" s="7"/>
      <c r="VCF7" s="10"/>
      <c r="VCG7" s="10"/>
      <c r="VCH7" s="10"/>
      <c r="VCJ7" s="10"/>
      <c r="VCU7" s="7"/>
      <c r="VCV7" s="10"/>
      <c r="VCW7" s="10"/>
      <c r="VCX7" s="10"/>
      <c r="VCZ7" s="10"/>
      <c r="VDK7" s="7"/>
      <c r="VDL7" s="10"/>
      <c r="VDM7" s="10"/>
      <c r="VDN7" s="10"/>
      <c r="VDP7" s="10"/>
      <c r="VEA7" s="7"/>
      <c r="VEB7" s="10"/>
      <c r="VEC7" s="10"/>
      <c r="VED7" s="10"/>
      <c r="VEF7" s="10"/>
      <c r="VEQ7" s="7"/>
      <c r="VER7" s="10"/>
      <c r="VES7" s="10"/>
      <c r="VET7" s="10"/>
      <c r="VEV7" s="10"/>
      <c r="VFG7" s="7"/>
      <c r="VFH7" s="10"/>
      <c r="VFI7" s="10"/>
      <c r="VFJ7" s="10"/>
      <c r="VFL7" s="10"/>
      <c r="VFW7" s="7"/>
      <c r="VFX7" s="10"/>
      <c r="VFY7" s="10"/>
      <c r="VFZ7" s="10"/>
      <c r="VGB7" s="10"/>
      <c r="VGM7" s="7"/>
      <c r="VGN7" s="10"/>
      <c r="VGO7" s="10"/>
      <c r="VGP7" s="10"/>
      <c r="VGR7" s="10"/>
      <c r="VHC7" s="7"/>
      <c r="VHD7" s="10"/>
      <c r="VHE7" s="10"/>
      <c r="VHF7" s="10"/>
      <c r="VHH7" s="10"/>
      <c r="VHS7" s="7"/>
      <c r="VHT7" s="10"/>
      <c r="VHU7" s="10"/>
      <c r="VHV7" s="10"/>
      <c r="VHX7" s="10"/>
      <c r="VII7" s="7"/>
      <c r="VIJ7" s="10"/>
      <c r="VIK7" s="10"/>
      <c r="VIL7" s="10"/>
      <c r="VIN7" s="10"/>
      <c r="VIY7" s="7"/>
      <c r="VIZ7" s="10"/>
      <c r="VJA7" s="10"/>
      <c r="VJB7" s="10"/>
      <c r="VJD7" s="10"/>
      <c r="VJO7" s="7"/>
      <c r="VJP7" s="10"/>
      <c r="VJQ7" s="10"/>
      <c r="VJR7" s="10"/>
      <c r="VJT7" s="10"/>
      <c r="VKE7" s="7"/>
      <c r="VKF7" s="10"/>
      <c r="VKG7" s="10"/>
      <c r="VKH7" s="10"/>
      <c r="VKJ7" s="10"/>
      <c r="VKU7" s="7"/>
      <c r="VKV7" s="10"/>
      <c r="VKW7" s="10"/>
      <c r="VKX7" s="10"/>
      <c r="VKZ7" s="10"/>
      <c r="VLK7" s="7"/>
      <c r="VLL7" s="10"/>
      <c r="VLM7" s="10"/>
      <c r="VLN7" s="10"/>
      <c r="VLP7" s="10"/>
      <c r="VMA7" s="7"/>
      <c r="VMB7" s="10"/>
      <c r="VMC7" s="10"/>
      <c r="VMD7" s="10"/>
      <c r="VMF7" s="10"/>
      <c r="VMQ7" s="7"/>
      <c r="VMR7" s="10"/>
      <c r="VMS7" s="10"/>
      <c r="VMT7" s="10"/>
      <c r="VMV7" s="10"/>
      <c r="VNG7" s="7"/>
      <c r="VNH7" s="10"/>
      <c r="VNI7" s="10"/>
      <c r="VNJ7" s="10"/>
      <c r="VNL7" s="10"/>
      <c r="VNW7" s="7"/>
      <c r="VNX7" s="10"/>
      <c r="VNY7" s="10"/>
      <c r="VNZ7" s="10"/>
      <c r="VOB7" s="10"/>
      <c r="VOM7" s="7"/>
      <c r="VON7" s="10"/>
      <c r="VOO7" s="10"/>
      <c r="VOP7" s="10"/>
      <c r="VOR7" s="10"/>
      <c r="VPC7" s="7"/>
      <c r="VPD7" s="10"/>
      <c r="VPE7" s="10"/>
      <c r="VPF7" s="10"/>
      <c r="VPH7" s="10"/>
      <c r="VPS7" s="7"/>
      <c r="VPT7" s="10"/>
      <c r="VPU7" s="10"/>
      <c r="VPV7" s="10"/>
      <c r="VPX7" s="10"/>
      <c r="VQI7" s="7"/>
      <c r="VQJ7" s="10"/>
      <c r="VQK7" s="10"/>
      <c r="VQL7" s="10"/>
      <c r="VQN7" s="10"/>
      <c r="VQY7" s="7"/>
      <c r="VQZ7" s="10"/>
      <c r="VRA7" s="10"/>
      <c r="VRB7" s="10"/>
      <c r="VRD7" s="10"/>
      <c r="VRO7" s="7"/>
      <c r="VRP7" s="10"/>
      <c r="VRQ7" s="10"/>
      <c r="VRR7" s="10"/>
      <c r="VRT7" s="10"/>
      <c r="VSE7" s="7"/>
      <c r="VSF7" s="10"/>
      <c r="VSG7" s="10"/>
      <c r="VSH7" s="10"/>
      <c r="VSJ7" s="10"/>
      <c r="VSU7" s="7"/>
      <c r="VSV7" s="10"/>
      <c r="VSW7" s="10"/>
      <c r="VSX7" s="10"/>
      <c r="VSZ7" s="10"/>
      <c r="VTK7" s="7"/>
      <c r="VTL7" s="10"/>
      <c r="VTM7" s="10"/>
      <c r="VTN7" s="10"/>
      <c r="VTP7" s="10"/>
      <c r="VUA7" s="7"/>
      <c r="VUB7" s="10"/>
      <c r="VUC7" s="10"/>
      <c r="VUD7" s="10"/>
      <c r="VUF7" s="10"/>
      <c r="VUQ7" s="7"/>
      <c r="VUR7" s="10"/>
      <c r="VUS7" s="10"/>
      <c r="VUT7" s="10"/>
      <c r="VUV7" s="10"/>
      <c r="VVG7" s="7"/>
      <c r="VVH7" s="10"/>
      <c r="VVI7" s="10"/>
      <c r="VVJ7" s="10"/>
      <c r="VVL7" s="10"/>
      <c r="VVW7" s="7"/>
      <c r="VVX7" s="10"/>
      <c r="VVY7" s="10"/>
      <c r="VVZ7" s="10"/>
      <c r="VWB7" s="10"/>
      <c r="VWM7" s="7"/>
      <c r="VWN7" s="10"/>
      <c r="VWO7" s="10"/>
      <c r="VWP7" s="10"/>
      <c r="VWR7" s="10"/>
      <c r="VXC7" s="7"/>
      <c r="VXD7" s="10"/>
      <c r="VXE7" s="10"/>
      <c r="VXF7" s="10"/>
      <c r="VXH7" s="10"/>
      <c r="VXS7" s="7"/>
      <c r="VXT7" s="10"/>
      <c r="VXU7" s="10"/>
      <c r="VXV7" s="10"/>
      <c r="VXX7" s="10"/>
      <c r="VYI7" s="7"/>
      <c r="VYJ7" s="10"/>
      <c r="VYK7" s="10"/>
      <c r="VYL7" s="10"/>
      <c r="VYN7" s="10"/>
      <c r="VYY7" s="7"/>
      <c r="VYZ7" s="10"/>
      <c r="VZA7" s="10"/>
      <c r="VZB7" s="10"/>
      <c r="VZD7" s="10"/>
      <c r="VZO7" s="7"/>
      <c r="VZP7" s="10"/>
      <c r="VZQ7" s="10"/>
      <c r="VZR7" s="10"/>
      <c r="VZT7" s="10"/>
      <c r="WAE7" s="7"/>
      <c r="WAF7" s="10"/>
      <c r="WAG7" s="10"/>
      <c r="WAH7" s="10"/>
      <c r="WAJ7" s="10"/>
      <c r="WAU7" s="7"/>
      <c r="WAV7" s="10"/>
      <c r="WAW7" s="10"/>
      <c r="WAX7" s="10"/>
      <c r="WAZ7" s="10"/>
      <c r="WBK7" s="7"/>
      <c r="WBL7" s="10"/>
      <c r="WBM7" s="10"/>
      <c r="WBN7" s="10"/>
      <c r="WBP7" s="10"/>
      <c r="WCA7" s="7"/>
      <c r="WCB7" s="10"/>
      <c r="WCC7" s="10"/>
      <c r="WCD7" s="10"/>
      <c r="WCF7" s="10"/>
      <c r="WCQ7" s="7"/>
      <c r="WCR7" s="10"/>
      <c r="WCS7" s="10"/>
      <c r="WCT7" s="10"/>
      <c r="WCV7" s="10"/>
      <c r="WDG7" s="7"/>
      <c r="WDH7" s="10"/>
      <c r="WDI7" s="10"/>
      <c r="WDJ7" s="10"/>
      <c r="WDL7" s="10"/>
      <c r="WDW7" s="7"/>
      <c r="WDX7" s="10"/>
      <c r="WDY7" s="10"/>
      <c r="WDZ7" s="10"/>
      <c r="WEB7" s="10"/>
      <c r="WEM7" s="7"/>
      <c r="WEN7" s="10"/>
      <c r="WEO7" s="10"/>
      <c r="WEP7" s="10"/>
      <c r="WER7" s="10"/>
      <c r="WFC7" s="7"/>
      <c r="WFD7" s="10"/>
      <c r="WFE7" s="10"/>
      <c r="WFF7" s="10"/>
      <c r="WFH7" s="10"/>
      <c r="WFS7" s="7"/>
      <c r="WFT7" s="10"/>
      <c r="WFU7" s="10"/>
      <c r="WFV7" s="10"/>
      <c r="WFX7" s="10"/>
      <c r="WGI7" s="7"/>
      <c r="WGJ7" s="10"/>
      <c r="WGK7" s="10"/>
      <c r="WGL7" s="10"/>
      <c r="WGN7" s="10"/>
      <c r="WGY7" s="7"/>
      <c r="WGZ7" s="10"/>
      <c r="WHA7" s="10"/>
      <c r="WHB7" s="10"/>
      <c r="WHD7" s="10"/>
      <c r="WHO7" s="7"/>
      <c r="WHP7" s="10"/>
      <c r="WHQ7" s="10"/>
      <c r="WHR7" s="10"/>
      <c r="WHT7" s="10"/>
      <c r="WIE7" s="7"/>
      <c r="WIF7" s="10"/>
      <c r="WIG7" s="10"/>
      <c r="WIH7" s="10"/>
      <c r="WIJ7" s="10"/>
      <c r="WIU7" s="7"/>
      <c r="WIV7" s="10"/>
      <c r="WIW7" s="10"/>
      <c r="WIX7" s="10"/>
      <c r="WIZ7" s="10"/>
      <c r="WJK7" s="7"/>
      <c r="WJL7" s="10"/>
      <c r="WJM7" s="10"/>
      <c r="WJN7" s="10"/>
      <c r="WJP7" s="10"/>
      <c r="WKA7" s="7"/>
      <c r="WKB7" s="10"/>
      <c r="WKC7" s="10"/>
      <c r="WKD7" s="10"/>
      <c r="WKF7" s="10"/>
      <c r="WKQ7" s="7"/>
      <c r="WKR7" s="10"/>
      <c r="WKS7" s="10"/>
      <c r="WKT7" s="10"/>
      <c r="WKV7" s="10"/>
      <c r="WLG7" s="7"/>
      <c r="WLH7" s="10"/>
      <c r="WLI7" s="10"/>
      <c r="WLJ7" s="10"/>
      <c r="WLL7" s="10"/>
      <c r="WLW7" s="7"/>
      <c r="WLX7" s="10"/>
      <c r="WLY7" s="10"/>
      <c r="WLZ7" s="10"/>
      <c r="WMB7" s="10"/>
      <c r="WMM7" s="7"/>
      <c r="WMN7" s="10"/>
      <c r="WMO7" s="10"/>
      <c r="WMP7" s="10"/>
      <c r="WMR7" s="10"/>
      <c r="WNC7" s="7"/>
      <c r="WND7" s="10"/>
      <c r="WNE7" s="10"/>
      <c r="WNF7" s="10"/>
      <c r="WNH7" s="10"/>
      <c r="WNS7" s="7"/>
      <c r="WNT7" s="10"/>
      <c r="WNU7" s="10"/>
      <c r="WNV7" s="10"/>
      <c r="WNX7" s="10"/>
      <c r="WOI7" s="7"/>
      <c r="WOJ7" s="10"/>
      <c r="WOK7" s="10"/>
      <c r="WOL7" s="10"/>
      <c r="WON7" s="10"/>
      <c r="WOY7" s="7"/>
      <c r="WOZ7" s="10"/>
      <c r="WPA7" s="10"/>
      <c r="WPB7" s="10"/>
      <c r="WPD7" s="10"/>
      <c r="WPO7" s="7"/>
      <c r="WPP7" s="10"/>
      <c r="WPQ7" s="10"/>
      <c r="WPR7" s="10"/>
      <c r="WPT7" s="10"/>
      <c r="WQE7" s="7"/>
      <c r="WQF7" s="10"/>
      <c r="WQG7" s="10"/>
      <c r="WQH7" s="10"/>
      <c r="WQJ7" s="10"/>
      <c r="WQU7" s="7"/>
      <c r="WQV7" s="10"/>
      <c r="WQW7" s="10"/>
      <c r="WQX7" s="10"/>
      <c r="WQZ7" s="10"/>
      <c r="WRK7" s="7"/>
      <c r="WRL7" s="10"/>
      <c r="WRM7" s="10"/>
      <c r="WRN7" s="10"/>
      <c r="WRP7" s="10"/>
      <c r="WSA7" s="7"/>
      <c r="WSB7" s="10"/>
      <c r="WSC7" s="10"/>
      <c r="WSD7" s="10"/>
      <c r="WSF7" s="10"/>
      <c r="WSQ7" s="7"/>
      <c r="WSR7" s="10"/>
      <c r="WSS7" s="10"/>
      <c r="WST7" s="10"/>
      <c r="WSV7" s="10"/>
      <c r="WTG7" s="7"/>
      <c r="WTH7" s="10"/>
      <c r="WTI7" s="10"/>
      <c r="WTJ7" s="10"/>
      <c r="WTL7" s="10"/>
      <c r="WTW7" s="7"/>
      <c r="WTX7" s="10"/>
      <c r="WTY7" s="10"/>
      <c r="WTZ7" s="10"/>
      <c r="WUB7" s="10"/>
      <c r="WUM7" s="7"/>
      <c r="WUN7" s="10"/>
      <c r="WUO7" s="10"/>
      <c r="WUP7" s="10"/>
      <c r="WUR7" s="10"/>
      <c r="WVC7" s="7"/>
      <c r="WVD7" s="10"/>
      <c r="WVE7" s="10"/>
      <c r="WVF7" s="10"/>
      <c r="WVH7" s="10"/>
      <c r="WVS7" s="7"/>
      <c r="WVT7" s="10"/>
      <c r="WVU7" s="10"/>
      <c r="WVV7" s="10"/>
      <c r="WVX7" s="10"/>
      <c r="WWI7" s="7"/>
      <c r="WWJ7" s="10"/>
      <c r="WWK7" s="10"/>
      <c r="WWL7" s="10"/>
      <c r="WWN7" s="10"/>
      <c r="WWY7" s="7"/>
      <c r="WWZ7" s="10"/>
      <c r="WXA7" s="10"/>
      <c r="WXB7" s="10"/>
      <c r="WXD7" s="10"/>
      <c r="WXO7" s="7"/>
      <c r="WXP7" s="10"/>
      <c r="WXQ7" s="10"/>
      <c r="WXR7" s="10"/>
      <c r="WXT7" s="10"/>
      <c r="WYE7" s="7"/>
      <c r="WYF7" s="10"/>
      <c r="WYG7" s="10"/>
      <c r="WYH7" s="10"/>
      <c r="WYJ7" s="10"/>
      <c r="WYU7" s="7"/>
      <c r="WYV7" s="10"/>
      <c r="WYW7" s="10"/>
      <c r="WYX7" s="10"/>
      <c r="WYZ7" s="10"/>
      <c r="WZK7" s="7"/>
      <c r="WZL7" s="10"/>
      <c r="WZM7" s="10"/>
      <c r="WZN7" s="10"/>
      <c r="WZP7" s="10"/>
      <c r="XAA7" s="7"/>
      <c r="XAB7" s="10"/>
      <c r="XAC7" s="10"/>
      <c r="XAD7" s="10"/>
      <c r="XAF7" s="10"/>
      <c r="XAQ7" s="7"/>
      <c r="XAR7" s="10"/>
      <c r="XAS7" s="10"/>
      <c r="XAT7" s="10"/>
      <c r="XAV7" s="10"/>
      <c r="XBG7" s="7"/>
      <c r="XBH7" s="10"/>
      <c r="XBI7" s="10"/>
      <c r="XBJ7" s="10"/>
      <c r="XBL7" s="10"/>
      <c r="XBW7" s="7"/>
      <c r="XBX7" s="10"/>
      <c r="XBY7" s="10"/>
      <c r="XBZ7" s="10"/>
      <c r="XCB7" s="10"/>
      <c r="XCM7" s="7"/>
      <c r="XCN7" s="10"/>
      <c r="XCO7" s="10"/>
      <c r="XCP7" s="10"/>
      <c r="XCR7" s="10"/>
      <c r="XDC7" s="7"/>
      <c r="XDD7" s="10"/>
      <c r="XDE7" s="10"/>
      <c r="XDF7" s="10"/>
      <c r="XDH7" s="10"/>
      <c r="XDS7" s="7"/>
      <c r="XDT7" s="10"/>
      <c r="XDU7" s="10"/>
      <c r="XDV7" s="10"/>
      <c r="XDX7" s="10"/>
      <c r="XEI7" s="7"/>
      <c r="XEJ7" s="10"/>
      <c r="XEK7" s="10"/>
      <c r="XEL7" s="10"/>
      <c r="XEN7" s="10"/>
      <c r="XEY7" s="7"/>
      <c r="XEZ7" s="10"/>
      <c r="XFA7" s="10"/>
      <c r="XFB7" s="10"/>
      <c r="XFD7" s="10"/>
    </row>
    <row r="8" spans="1:1024 1035:2048 2059:3072 3083:4096 4107:5120 5131:6144 6155:7168 7179:8192 8203:9216 9227:10240 10251:11264 11275:12288 12299:13312 13323:14336 14347:15360 15371:16384">
      <c r="K8" s="7" t="s">
        <v>41</v>
      </c>
      <c r="L8" s="10"/>
      <c r="M8" s="10"/>
      <c r="N8" s="10"/>
      <c r="P8" s="10">
        <f t="shared" si="0"/>
        <v>0</v>
      </c>
    </row>
    <row r="9" spans="1:1024 1035:2048 2059:3072 3083:4096 4107:5120 5131:6144 6155:7168 7179:8192 8203:9216 9227:10240 10251:11264 11275:12288 12299:13312 13323:14336 14347:15360 15371:16384">
      <c r="K9" s="7" t="s">
        <v>47</v>
      </c>
      <c r="L9" s="10"/>
      <c r="M9" s="10"/>
      <c r="N9" s="10"/>
      <c r="P9" s="10">
        <f t="shared" si="0"/>
        <v>0</v>
      </c>
    </row>
    <row r="10" spans="1:1024 1035:2048 2059:3072 3083:4096 4107:5120 5131:6144 6155:7168 7179:8192 8203:9216 9227:10240 10251:11264 11275:12288 12299:13312 13323:14336 14347:15360 15371:16384">
      <c r="K10" s="7" t="s">
        <v>48</v>
      </c>
      <c r="L10" s="10"/>
      <c r="M10" s="10"/>
      <c r="N10" s="10"/>
      <c r="P10" s="10">
        <f t="shared" si="0"/>
        <v>0</v>
      </c>
    </row>
    <row r="11" spans="1:1024 1035:2048 2059:3072 3083:4096 4107:5120 5131:6144 6155:7168 7179:8192 8203:9216 9227:10240 10251:11264 11275:12288 12299:13312 13323:14336 14347:15360 15371:16384">
      <c r="K11" s="7" t="s">
        <v>49</v>
      </c>
      <c r="L11" s="10"/>
      <c r="M11" s="10"/>
      <c r="N11" s="10"/>
      <c r="P11" s="10">
        <f t="shared" si="0"/>
        <v>0</v>
      </c>
    </row>
    <row r="12" spans="1:1024 1035:2048 2059:3072 3083:4096 4107:5120 5131:6144 6155:7168 7179:8192 8203:9216 9227:10240 10251:11264 11275:12288 12299:13312 13323:14336 14347:15360 15371:16384">
      <c r="K12" s="7" t="s">
        <v>53</v>
      </c>
      <c r="L12" s="10"/>
      <c r="M12" s="10"/>
      <c r="N12" s="10"/>
      <c r="P12" s="10">
        <f t="shared" si="0"/>
        <v>0</v>
      </c>
    </row>
    <row r="13" spans="1:1024 1035:2048 2059:3072 3083:4096 4107:5120 5131:6144 6155:7168 7179:8192 8203:9216 9227:10240 10251:11264 11275:12288 12299:13312 13323:14336 14347:15360 15371:16384">
      <c r="K13" s="8"/>
      <c r="L13" s="11">
        <f>SUM(L3:L12)</f>
        <v>0</v>
      </c>
      <c r="M13" s="11">
        <f>SUM(M3:M12)</f>
        <v>0</v>
      </c>
      <c r="N13" s="11">
        <f>SUM(N3:N12)</f>
        <v>0</v>
      </c>
      <c r="P13" s="11">
        <f>SUM(P3:P12)</f>
        <v>0</v>
      </c>
    </row>
  </sheetData>
  <hyperlinks>
    <hyperlink ref="A1" location="'3. P y G PRESENTACION'!A1" display="PyG"/>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92D050"/>
    <pageSetUpPr fitToPage="1"/>
  </sheetPr>
  <dimension ref="A1:O82"/>
  <sheetViews>
    <sheetView showGridLines="0" topLeftCell="A10" zoomScaleNormal="100" zoomScaleSheetLayoutView="80" workbookViewId="0">
      <selection activeCell="F9" sqref="F9"/>
    </sheetView>
  </sheetViews>
  <sheetFormatPr baseColWidth="10" defaultColWidth="11.42578125" defaultRowHeight="15"/>
  <cols>
    <col min="1" max="1" width="75.28515625" style="1" customWidth="1"/>
    <col min="2" max="2" width="15.140625" style="1" customWidth="1"/>
    <col min="3" max="3" width="15.5703125" style="1" customWidth="1"/>
    <col min="4" max="16384" width="11.42578125" style="1"/>
  </cols>
  <sheetData>
    <row r="1" spans="1:3" ht="60" customHeight="1" thickBot="1">
      <c r="A1" s="4"/>
      <c r="B1" s="4"/>
      <c r="C1" s="4"/>
    </row>
    <row r="2" spans="1:3" ht="15.75" thickBot="1">
      <c r="A2" s="909" t="s">
        <v>0</v>
      </c>
      <c r="B2" s="910"/>
      <c r="C2" s="911"/>
    </row>
    <row r="3" spans="1:3">
      <c r="A3" s="949" t="s">
        <v>1</v>
      </c>
      <c r="B3" s="950"/>
      <c r="C3" s="951" t="s">
        <v>2</v>
      </c>
    </row>
    <row r="4" spans="1:3" ht="15.75" thickBot="1">
      <c r="A4" s="952" t="s">
        <v>3</v>
      </c>
      <c r="B4" s="953"/>
      <c r="C4" s="914">
        <v>2023</v>
      </c>
    </row>
    <row r="5" spans="1:3">
      <c r="A5" s="954" t="s">
        <v>4</v>
      </c>
      <c r="B5" s="955"/>
      <c r="C5" s="956"/>
    </row>
    <row r="6" spans="1:3">
      <c r="A6" s="957" t="s">
        <v>5</v>
      </c>
      <c r="B6" s="958"/>
      <c r="C6" s="959"/>
    </row>
    <row r="7" spans="1:3" ht="23.25" customHeight="1">
      <c r="A7" s="960" t="s">
        <v>6</v>
      </c>
      <c r="B7" s="961"/>
      <c r="C7" s="962"/>
    </row>
    <row r="8" spans="1:3">
      <c r="A8" s="963" t="s">
        <v>7</v>
      </c>
      <c r="B8" s="964"/>
      <c r="C8" s="965"/>
    </row>
    <row r="9" spans="1:3" ht="36.75" customHeight="1">
      <c r="A9" s="929"/>
      <c r="B9" s="966">
        <v>2023</v>
      </c>
      <c r="C9" s="967" t="s">
        <v>1020</v>
      </c>
    </row>
    <row r="10" spans="1:3">
      <c r="A10" s="930" t="s">
        <v>1067</v>
      </c>
      <c r="B10" s="931"/>
      <c r="C10" s="932"/>
    </row>
    <row r="11" spans="1:3" ht="15" customHeight="1">
      <c r="A11" s="933" t="s">
        <v>8</v>
      </c>
      <c r="B11" s="934">
        <v>34485409.230906203</v>
      </c>
      <c r="C11" s="935">
        <v>31743299.150362562</v>
      </c>
    </row>
    <row r="12" spans="1:3" ht="15" customHeight="1">
      <c r="A12" s="936" t="s">
        <v>9</v>
      </c>
      <c r="B12" s="937">
        <v>4657362.7009062031</v>
      </c>
      <c r="C12" s="938">
        <v>16307325.040362563</v>
      </c>
    </row>
    <row r="13" spans="1:3" ht="15" customHeight="1">
      <c r="A13" s="939" t="s">
        <v>10</v>
      </c>
      <c r="B13" s="937">
        <v>29828046.530000001</v>
      </c>
      <c r="C13" s="938">
        <v>15435974.109999999</v>
      </c>
    </row>
    <row r="14" spans="1:3" ht="15" customHeight="1">
      <c r="A14" s="940" t="s">
        <v>11</v>
      </c>
      <c r="B14" s="934">
        <v>1640876.9781411085</v>
      </c>
      <c r="C14" s="935">
        <v>311844.7415894944</v>
      </c>
    </row>
    <row r="15" spans="1:3" ht="15" customHeight="1">
      <c r="A15" s="940" t="s">
        <v>12</v>
      </c>
      <c r="B15" s="934">
        <v>-7727076.9695539856</v>
      </c>
      <c r="C15" s="935">
        <v>-6763753.7828998901</v>
      </c>
    </row>
    <row r="16" spans="1:3" ht="15" customHeight="1">
      <c r="A16" s="941" t="s">
        <v>13</v>
      </c>
      <c r="B16" s="937">
        <v>-9193118.4165289719</v>
      </c>
      <c r="C16" s="938">
        <v>-8214469.0287653133</v>
      </c>
    </row>
    <row r="17" spans="1:15" ht="15" customHeight="1">
      <c r="A17" s="941" t="s">
        <v>14</v>
      </c>
      <c r="B17" s="937">
        <v>1516838.1800000002</v>
      </c>
      <c r="C17" s="938">
        <v>1716838.1800000002</v>
      </c>
    </row>
    <row r="18" spans="1:15" ht="15" customHeight="1">
      <c r="A18" s="941" t="s">
        <v>15</v>
      </c>
      <c r="B18" s="937">
        <v>-50796.733025013782</v>
      </c>
      <c r="C18" s="938">
        <v>-266122.93413457653</v>
      </c>
    </row>
    <row r="19" spans="1:15" s="4" customFormat="1" ht="15" customHeight="1">
      <c r="A19" s="942" t="s">
        <v>16</v>
      </c>
      <c r="B19" s="943">
        <v>26048868.173333332</v>
      </c>
      <c r="C19" s="944">
        <v>24961074.053333331</v>
      </c>
      <c r="D19" s="1"/>
      <c r="E19" s="1"/>
      <c r="F19" s="1"/>
      <c r="G19" s="1"/>
      <c r="H19" s="1"/>
      <c r="I19" s="1"/>
      <c r="J19" s="1"/>
      <c r="K19" s="1"/>
      <c r="L19" s="1"/>
      <c r="M19" s="1"/>
      <c r="N19" s="1"/>
      <c r="O19" s="1"/>
    </row>
    <row r="20" spans="1:15" ht="15" customHeight="1">
      <c r="A20" s="941" t="s">
        <v>17</v>
      </c>
      <c r="B20" s="937">
        <v>471513.17333333299</v>
      </c>
      <c r="C20" s="938">
        <v>471513.17333333299</v>
      </c>
    </row>
    <row r="21" spans="1:15" ht="15" customHeight="1">
      <c r="A21" s="941" t="s">
        <v>18</v>
      </c>
      <c r="B21" s="937">
        <v>25577355</v>
      </c>
      <c r="C21" s="938">
        <v>24489560.879999999</v>
      </c>
    </row>
    <row r="22" spans="1:15" s="4" customFormat="1" ht="15" customHeight="1">
      <c r="A22" s="940" t="s">
        <v>19</v>
      </c>
      <c r="B22" s="934">
        <v>-37209894.210622266</v>
      </c>
      <c r="C22" s="944">
        <v>-34549400.932158485</v>
      </c>
      <c r="D22" s="1"/>
      <c r="E22" s="1"/>
      <c r="F22" s="1"/>
      <c r="G22" s="1"/>
      <c r="H22" s="1"/>
      <c r="I22" s="1"/>
      <c r="J22" s="1"/>
      <c r="K22" s="1"/>
      <c r="L22" s="1"/>
      <c r="M22" s="1"/>
      <c r="N22" s="1"/>
      <c r="O22" s="1"/>
    </row>
    <row r="23" spans="1:15" ht="15" customHeight="1">
      <c r="A23" s="941" t="s">
        <v>20</v>
      </c>
      <c r="B23" s="937">
        <v>-27170697.933794271</v>
      </c>
      <c r="C23" s="938">
        <v>-25199814.054191474</v>
      </c>
    </row>
    <row r="24" spans="1:15" ht="15" customHeight="1">
      <c r="A24" s="941" t="s">
        <v>21</v>
      </c>
      <c r="B24" s="937">
        <v>-10039196.276827995</v>
      </c>
      <c r="C24" s="938">
        <v>-9349586.8779670149</v>
      </c>
    </row>
    <row r="25" spans="1:15" ht="15" customHeight="1">
      <c r="A25" s="940" t="s">
        <v>22</v>
      </c>
      <c r="B25" s="934">
        <v>-10601630.989435935</v>
      </c>
      <c r="C25" s="944">
        <v>-9284473.5159200002</v>
      </c>
    </row>
    <row r="26" spans="1:15" ht="15" customHeight="1">
      <c r="A26" s="941" t="s">
        <v>23</v>
      </c>
      <c r="B26" s="938">
        <v>-10574641.339435935</v>
      </c>
      <c r="C26" s="938">
        <v>-9257483.8659199998</v>
      </c>
    </row>
    <row r="27" spans="1:15" ht="15" customHeight="1">
      <c r="A27" s="941" t="s">
        <v>24</v>
      </c>
      <c r="B27" s="937">
        <v>-26989.65</v>
      </c>
      <c r="C27" s="938">
        <v>-26989.65</v>
      </c>
    </row>
    <row r="28" spans="1:15" ht="15" customHeight="1">
      <c r="A28" s="945" t="s">
        <v>25</v>
      </c>
      <c r="B28" s="934">
        <v>-5471359.6113461601</v>
      </c>
      <c r="C28" s="935">
        <v>-4766399.7336950675</v>
      </c>
    </row>
    <row r="29" spans="1:15" ht="15" customHeight="1">
      <c r="A29" s="941" t="s">
        <v>26</v>
      </c>
      <c r="B29" s="937">
        <v>-303408.59049999999</v>
      </c>
      <c r="C29" s="938">
        <v>-167321.62494444448</v>
      </c>
    </row>
    <row r="30" spans="1:15" ht="15" customHeight="1">
      <c r="A30" s="941" t="s">
        <v>27</v>
      </c>
      <c r="B30" s="937">
        <v>-5165123.3878861601</v>
      </c>
      <c r="C30" s="938">
        <v>-4596250.4757906226</v>
      </c>
    </row>
    <row r="31" spans="1:15" ht="15" customHeight="1">
      <c r="A31" s="941" t="s">
        <v>28</v>
      </c>
      <c r="B31" s="937">
        <v>-2827.6329600000008</v>
      </c>
      <c r="C31" s="938">
        <v>-2827.6329600000008</v>
      </c>
    </row>
    <row r="32" spans="1:15" ht="15" customHeight="1">
      <c r="A32" s="945" t="s">
        <v>29</v>
      </c>
      <c r="B32" s="943">
        <v>1891811.073361621</v>
      </c>
      <c r="C32" s="944">
        <v>2288534.7533616209</v>
      </c>
    </row>
    <row r="33" spans="1:3" ht="15" customHeight="1">
      <c r="A33" s="945" t="s">
        <v>30</v>
      </c>
      <c r="B33" s="934">
        <v>0</v>
      </c>
      <c r="C33" s="935">
        <v>165251.03</v>
      </c>
    </row>
    <row r="34" spans="1:3" ht="15" customHeight="1">
      <c r="A34" s="941" t="s">
        <v>31</v>
      </c>
      <c r="B34" s="937">
        <v>0</v>
      </c>
      <c r="C34" s="938">
        <v>-9688.65</v>
      </c>
    </row>
    <row r="35" spans="1:3" ht="15" customHeight="1">
      <c r="A35" s="941" t="s">
        <v>32</v>
      </c>
      <c r="B35" s="937">
        <v>0</v>
      </c>
      <c r="C35" s="938">
        <v>174939.68</v>
      </c>
    </row>
    <row r="36" spans="1:3" ht="15" customHeight="1">
      <c r="A36" s="968" t="s">
        <v>33</v>
      </c>
      <c r="B36" s="969">
        <v>3057003.6747839171</v>
      </c>
      <c r="C36" s="970">
        <v>4105975.7639735616</v>
      </c>
    </row>
    <row r="37" spans="1:3" ht="15" customHeight="1">
      <c r="A37" s="945" t="s">
        <v>34</v>
      </c>
      <c r="B37" s="934">
        <v>1486.5</v>
      </c>
      <c r="C37" s="935">
        <v>16254.93</v>
      </c>
    </row>
    <row r="38" spans="1:3" ht="15" customHeight="1">
      <c r="A38" s="941" t="s">
        <v>35</v>
      </c>
      <c r="B38" s="937">
        <v>1486.5</v>
      </c>
      <c r="C38" s="938">
        <v>16254.93</v>
      </c>
    </row>
    <row r="39" spans="1:3" ht="15" customHeight="1">
      <c r="A39" s="945" t="s">
        <v>36</v>
      </c>
      <c r="B39" s="934">
        <v>-2056986.4433706906</v>
      </c>
      <c r="C39" s="935">
        <v>-437134.32924300473</v>
      </c>
    </row>
    <row r="40" spans="1:3" ht="15" customHeight="1">
      <c r="A40" s="941" t="s">
        <v>37</v>
      </c>
      <c r="B40" s="937">
        <v>-2056986.4433706906</v>
      </c>
      <c r="C40" s="938">
        <v>-437134.32924300473</v>
      </c>
    </row>
    <row r="41" spans="1:3" ht="15" customHeight="1">
      <c r="A41" s="968" t="s">
        <v>1068</v>
      </c>
      <c r="B41" s="947">
        <v>-2055499.9433706906</v>
      </c>
      <c r="C41" s="948">
        <v>-420879.39924300474</v>
      </c>
    </row>
    <row r="42" spans="1:3" ht="15" customHeight="1">
      <c r="A42" s="968" t="s">
        <v>1069</v>
      </c>
      <c r="B42" s="947">
        <v>1001503.7314132266</v>
      </c>
      <c r="C42" s="948">
        <v>3685096.364730557</v>
      </c>
    </row>
    <row r="43" spans="1:3" ht="15" customHeight="1">
      <c r="A43" s="968" t="s">
        <v>1070</v>
      </c>
      <c r="B43" s="947">
        <v>1001503.7314132266</v>
      </c>
      <c r="C43" s="948">
        <v>3685096.364730557</v>
      </c>
    </row>
    <row r="44" spans="1:3" ht="15" customHeight="1" thickBot="1">
      <c r="A44" s="971" t="s">
        <v>38</v>
      </c>
      <c r="B44" s="972">
        <v>1001503.7314132266</v>
      </c>
      <c r="C44" s="973">
        <v>3685096.364730557</v>
      </c>
    </row>
    <row r="45" spans="1:3">
      <c r="A45" s="974"/>
      <c r="B45" s="974"/>
      <c r="C45" s="974"/>
    </row>
    <row r="59" spans="1:3" s="3" customFormat="1" ht="17.25" customHeight="1">
      <c r="A59" s="1"/>
      <c r="B59" s="1"/>
      <c r="C59" s="1"/>
    </row>
    <row r="60" spans="1:3" s="3" customFormat="1" ht="17.25" customHeight="1">
      <c r="A60" s="1"/>
      <c r="B60" s="1"/>
      <c r="C60" s="1"/>
    </row>
    <row r="61" spans="1:3" s="3" customFormat="1" ht="17.25" customHeight="1">
      <c r="A61" s="216"/>
      <c r="B61"/>
      <c r="C61"/>
    </row>
    <row r="62" spans="1:3" ht="17.25" customHeight="1">
      <c r="A62" s="216"/>
      <c r="B62"/>
      <c r="C62"/>
    </row>
    <row r="63" spans="1:3">
      <c r="A63"/>
      <c r="B63"/>
      <c r="C63"/>
    </row>
    <row r="64" spans="1:3" ht="81" customHeight="1">
      <c r="A64"/>
      <c r="B64"/>
      <c r="C64"/>
    </row>
    <row r="65" spans="1:3">
      <c r="A65"/>
      <c r="B65"/>
      <c r="C65"/>
    </row>
    <row r="66" spans="1:3">
      <c r="A66"/>
      <c r="B66"/>
      <c r="C66"/>
    </row>
    <row r="67" spans="1:3">
      <c r="A67"/>
      <c r="B67"/>
      <c r="C67"/>
    </row>
    <row r="68" spans="1:3">
      <c r="A68"/>
      <c r="B68"/>
      <c r="C68"/>
    </row>
    <row r="69" spans="1:3">
      <c r="A69"/>
      <c r="B69"/>
      <c r="C69"/>
    </row>
    <row r="70" spans="1:3">
      <c r="A70"/>
      <c r="B70"/>
      <c r="C70"/>
    </row>
    <row r="71" spans="1:3">
      <c r="A71"/>
      <c r="B71"/>
      <c r="C71"/>
    </row>
    <row r="72" spans="1:3">
      <c r="A72"/>
      <c r="B72"/>
      <c r="C72"/>
    </row>
    <row r="73" spans="1:3" ht="30" customHeight="1">
      <c r="A73"/>
      <c r="B73"/>
      <c r="C73"/>
    </row>
    <row r="74" spans="1:3">
      <c r="A74"/>
      <c r="B74"/>
      <c r="C74"/>
    </row>
    <row r="75" spans="1:3">
      <c r="A75"/>
      <c r="B75"/>
      <c r="C75"/>
    </row>
    <row r="76" spans="1:3">
      <c r="A76"/>
      <c r="B76"/>
      <c r="C76"/>
    </row>
    <row r="77" spans="1:3">
      <c r="A77"/>
      <c r="B77"/>
      <c r="C77"/>
    </row>
    <row r="78" spans="1:3">
      <c r="A78"/>
      <c r="B78"/>
      <c r="C78"/>
    </row>
    <row r="79" spans="1:3">
      <c r="A79"/>
      <c r="B79"/>
      <c r="C79"/>
    </row>
    <row r="80" spans="1:3">
      <c r="A80"/>
      <c r="B80"/>
      <c r="C80"/>
    </row>
    <row r="81" spans="1:3" ht="18.75" customHeight="1">
      <c r="A81"/>
      <c r="B81"/>
      <c r="C81"/>
    </row>
    <row r="82" spans="1:3" ht="27" customHeight="1">
      <c r="A82"/>
      <c r="B82"/>
      <c r="C82"/>
    </row>
  </sheetData>
  <mergeCells count="8">
    <mergeCell ref="A8:C8"/>
    <mergeCell ref="A10:C10"/>
    <mergeCell ref="A2:C2"/>
    <mergeCell ref="A3:B3"/>
    <mergeCell ref="A4:B4"/>
    <mergeCell ref="A5:C5"/>
    <mergeCell ref="A6:C6"/>
    <mergeCell ref="A7:C7"/>
  </mergeCells>
  <printOptions horizontalCentered="1"/>
  <pageMargins left="0.19685039370078741" right="0.19685039370078741" top="0.55118110236220474" bottom="0.55118110236220474" header="0.31496062992125984" footer="0.31496062992125984"/>
  <pageSetup paperSize="9" scale="93" orientation="portrait" r:id="rId1"/>
  <drawing r:id="rId2"/>
</worksheet>
</file>

<file path=xl/worksheets/sheet20.xml><?xml version="1.0" encoding="utf-8"?>
<worksheet xmlns="http://schemas.openxmlformats.org/spreadsheetml/2006/main" xmlns:r="http://schemas.openxmlformats.org/officeDocument/2006/relationships">
  <sheetPr>
    <tabColor rgb="FFFFFF99"/>
  </sheetPr>
  <dimension ref="B3:Q28"/>
  <sheetViews>
    <sheetView workbookViewId="0">
      <selection activeCell="B4" sqref="B4:Q18"/>
    </sheetView>
  </sheetViews>
  <sheetFormatPr baseColWidth="10" defaultRowHeight="15"/>
  <cols>
    <col min="3" max="10" width="0" hidden="1" customWidth="1"/>
    <col min="12" max="12" width="11.42578125" customWidth="1"/>
    <col min="13" max="16" width="11.42578125" hidden="1" customWidth="1"/>
  </cols>
  <sheetData>
    <row r="3" spans="2:17">
      <c r="B3" t="s">
        <v>279</v>
      </c>
      <c r="C3" s="812">
        <v>2021</v>
      </c>
      <c r="D3" t="s">
        <v>1021</v>
      </c>
      <c r="E3" s="812">
        <v>2022</v>
      </c>
      <c r="G3" t="s">
        <v>1022</v>
      </c>
      <c r="H3" t="s">
        <v>1023</v>
      </c>
      <c r="J3" s="812">
        <v>2021</v>
      </c>
      <c r="K3" t="s">
        <v>1021</v>
      </c>
      <c r="L3" s="812">
        <v>2022</v>
      </c>
      <c r="N3" t="s">
        <v>1022</v>
      </c>
      <c r="O3" t="s">
        <v>1023</v>
      </c>
      <c r="Q3" t="s">
        <v>1024</v>
      </c>
    </row>
    <row r="4" spans="2:17">
      <c r="B4" t="s">
        <v>918</v>
      </c>
      <c r="C4" s="812">
        <v>348569</v>
      </c>
      <c r="D4" s="812">
        <v>188208</v>
      </c>
      <c r="E4" s="812">
        <v>201218</v>
      </c>
      <c r="G4" s="812">
        <v>-147352</v>
      </c>
      <c r="H4" s="812">
        <v>13010</v>
      </c>
      <c r="J4" s="812">
        <v>748416</v>
      </c>
      <c r="K4" s="812">
        <v>451699</v>
      </c>
      <c r="L4" s="812">
        <v>526860</v>
      </c>
      <c r="N4" s="812">
        <v>-221556</v>
      </c>
      <c r="O4" s="812">
        <v>75161</v>
      </c>
      <c r="Q4" s="812">
        <v>579885</v>
      </c>
    </row>
    <row r="5" spans="2:17">
      <c r="B5" t="s">
        <v>920</v>
      </c>
      <c r="C5" s="812">
        <v>80587</v>
      </c>
      <c r="D5" s="812">
        <v>138681</v>
      </c>
      <c r="E5" s="812">
        <v>110359</v>
      </c>
      <c r="G5" s="812">
        <v>29772</v>
      </c>
      <c r="H5" s="812">
        <v>-28322</v>
      </c>
      <c r="J5" s="812">
        <v>210366</v>
      </c>
      <c r="K5" s="812">
        <v>332833</v>
      </c>
      <c r="L5" s="812">
        <v>276672</v>
      </c>
      <c r="N5" s="812">
        <v>66306</v>
      </c>
      <c r="O5" s="812">
        <v>-56161</v>
      </c>
      <c r="Q5" s="812">
        <v>275000</v>
      </c>
    </row>
    <row r="6" spans="2:17">
      <c r="B6" t="s">
        <v>919</v>
      </c>
      <c r="C6" s="812">
        <v>127864</v>
      </c>
      <c r="D6" s="812">
        <v>127864</v>
      </c>
      <c r="E6" s="812">
        <v>128427</v>
      </c>
      <c r="G6" s="812">
        <v>563</v>
      </c>
      <c r="H6" s="812">
        <v>563</v>
      </c>
      <c r="J6" s="812">
        <v>309753</v>
      </c>
      <c r="K6" s="812">
        <v>306873</v>
      </c>
      <c r="L6" s="812">
        <v>306441</v>
      </c>
      <c r="N6" s="812">
        <v>-3311</v>
      </c>
      <c r="O6" s="812">
        <v>-432</v>
      </c>
      <c r="Q6" s="812">
        <v>309012</v>
      </c>
    </row>
    <row r="7" spans="2:17">
      <c r="B7" t="s">
        <v>43</v>
      </c>
      <c r="C7" s="812">
        <v>18417</v>
      </c>
      <c r="D7" s="812">
        <v>23542</v>
      </c>
      <c r="E7" s="812">
        <v>29579</v>
      </c>
      <c r="G7" s="812">
        <v>11162</v>
      </c>
      <c r="H7" s="812">
        <v>6037</v>
      </c>
      <c r="J7" s="812">
        <v>44808</v>
      </c>
      <c r="K7" s="812">
        <v>56500</v>
      </c>
      <c r="L7" s="812">
        <v>70424</v>
      </c>
      <c r="N7" s="812">
        <v>25616</v>
      </c>
      <c r="O7" s="812">
        <v>13924</v>
      </c>
      <c r="Q7" s="812">
        <v>169286</v>
      </c>
    </row>
    <row r="8" spans="2:17">
      <c r="B8" t="s">
        <v>926</v>
      </c>
      <c r="C8" s="812">
        <v>6836</v>
      </c>
      <c r="D8" s="812">
        <v>7292</v>
      </c>
      <c r="E8" s="812">
        <v>2567</v>
      </c>
      <c r="G8" s="812">
        <v>-4269</v>
      </c>
      <c r="H8" s="812">
        <v>-4725</v>
      </c>
      <c r="J8" s="812">
        <v>21509</v>
      </c>
      <c r="K8" s="812">
        <v>17500</v>
      </c>
      <c r="L8" s="812"/>
      <c r="N8" s="812">
        <v>-21509</v>
      </c>
      <c r="O8" s="812">
        <v>-17500</v>
      </c>
      <c r="Q8" s="812"/>
    </row>
    <row r="9" spans="2:17">
      <c r="B9" t="s">
        <v>921</v>
      </c>
      <c r="C9" s="812">
        <v>9586</v>
      </c>
      <c r="D9" s="812">
        <v>7010</v>
      </c>
      <c r="E9" s="812">
        <v>6218</v>
      </c>
      <c r="G9" s="812">
        <v>-3368</v>
      </c>
      <c r="H9" s="812">
        <v>-792</v>
      </c>
      <c r="J9" s="812">
        <v>26999</v>
      </c>
      <c r="K9" s="812">
        <v>16824</v>
      </c>
      <c r="L9" s="812">
        <v>25242</v>
      </c>
      <c r="N9" s="812">
        <v>-1758</v>
      </c>
      <c r="O9" s="812">
        <v>8418</v>
      </c>
      <c r="Q9" s="812">
        <v>25000</v>
      </c>
    </row>
    <row r="10" spans="2:17">
      <c r="B10" t="s">
        <v>42</v>
      </c>
      <c r="C10" s="812">
        <v>14599</v>
      </c>
      <c r="D10" s="812">
        <v>6875</v>
      </c>
      <c r="E10" s="812">
        <v>4964</v>
      </c>
      <c r="G10" s="812">
        <v>-9635</v>
      </c>
      <c r="H10" s="812">
        <v>-1911</v>
      </c>
      <c r="J10" s="812">
        <v>22482</v>
      </c>
      <c r="K10" s="812">
        <v>16500</v>
      </c>
      <c r="L10" s="812">
        <v>10800</v>
      </c>
      <c r="N10" s="812">
        <v>-11682</v>
      </c>
      <c r="O10" s="812">
        <v>-5700</v>
      </c>
      <c r="Q10" s="812">
        <v>12000</v>
      </c>
    </row>
    <row r="11" spans="2:17">
      <c r="B11" t="s">
        <v>925</v>
      </c>
      <c r="C11" s="812">
        <v>4361</v>
      </c>
      <c r="D11" s="812">
        <v>5625</v>
      </c>
      <c r="E11" s="812">
        <v>4143</v>
      </c>
      <c r="G11" s="812">
        <v>-218</v>
      </c>
      <c r="H11" s="812">
        <v>-1482</v>
      </c>
      <c r="J11" s="812">
        <v>8708</v>
      </c>
      <c r="K11" s="812">
        <v>13500</v>
      </c>
      <c r="L11" s="812">
        <v>13066</v>
      </c>
      <c r="N11" s="812">
        <v>4358</v>
      </c>
      <c r="O11">
        <v>-434</v>
      </c>
      <c r="Q11" s="812">
        <v>13500</v>
      </c>
    </row>
    <row r="12" spans="2:17">
      <c r="B12" t="s">
        <v>924</v>
      </c>
      <c r="C12" s="812">
        <v>4611</v>
      </c>
      <c r="D12" s="812">
        <v>4375</v>
      </c>
      <c r="E12" s="812">
        <v>4055</v>
      </c>
      <c r="G12" s="812">
        <v>-556</v>
      </c>
      <c r="H12" s="812">
        <v>-320</v>
      </c>
      <c r="J12" s="812">
        <v>7762</v>
      </c>
      <c r="K12" s="812">
        <v>10500</v>
      </c>
      <c r="L12" s="812">
        <v>10800</v>
      </c>
      <c r="N12" s="812">
        <v>3038</v>
      </c>
      <c r="O12">
        <v>300</v>
      </c>
      <c r="Q12" s="812">
        <v>12000</v>
      </c>
    </row>
    <row r="13" spans="2:17">
      <c r="B13" t="s">
        <v>972</v>
      </c>
      <c r="C13" s="812">
        <v>4000</v>
      </c>
      <c r="D13" s="812">
        <v>4000</v>
      </c>
      <c r="E13" s="812">
        <v>4000</v>
      </c>
      <c r="G13" s="812" t="s">
        <v>1025</v>
      </c>
      <c r="H13" s="812" t="s">
        <v>1025</v>
      </c>
      <c r="J13" s="812">
        <v>9600</v>
      </c>
      <c r="K13" s="812">
        <v>9600</v>
      </c>
      <c r="L13" s="812">
        <v>9600</v>
      </c>
      <c r="N13" s="812" t="s">
        <v>1025</v>
      </c>
      <c r="O13" s="812" t="s">
        <v>1025</v>
      </c>
      <c r="Q13" s="812">
        <v>9600</v>
      </c>
    </row>
    <row r="14" spans="2:17">
      <c r="B14" t="s">
        <v>1026</v>
      </c>
      <c r="C14" s="812">
        <v>2599</v>
      </c>
      <c r="D14" s="812">
        <v>3125</v>
      </c>
      <c r="E14" s="812">
        <v>2531</v>
      </c>
      <c r="G14" s="812">
        <v>-67</v>
      </c>
      <c r="H14">
        <v>-594</v>
      </c>
      <c r="J14" s="812">
        <v>5584</v>
      </c>
      <c r="K14" s="812">
        <v>7500</v>
      </c>
      <c r="L14" s="812">
        <v>7699</v>
      </c>
      <c r="N14" s="812">
        <v>2115</v>
      </c>
      <c r="O14" s="812">
        <v>199</v>
      </c>
      <c r="Q14" s="812">
        <v>8000</v>
      </c>
    </row>
    <row r="15" spans="2:17">
      <c r="B15" t="s">
        <v>1027</v>
      </c>
      <c r="C15" s="812" t="s">
        <v>1025</v>
      </c>
      <c r="D15" s="812" t="s">
        <v>1025</v>
      </c>
      <c r="E15" s="812">
        <v>7203</v>
      </c>
      <c r="G15" s="812">
        <v>7203</v>
      </c>
      <c r="H15" s="812">
        <v>7203</v>
      </c>
      <c r="J15" s="812" t="s">
        <v>1025</v>
      </c>
      <c r="K15" s="812" t="s">
        <v>1025</v>
      </c>
      <c r="L15" s="812">
        <v>17286</v>
      </c>
      <c r="N15" s="812">
        <v>17286</v>
      </c>
      <c r="O15" s="812">
        <v>17286</v>
      </c>
      <c r="Q15" s="812">
        <v>17286</v>
      </c>
    </row>
    <row r="16" spans="2:17">
      <c r="B16" t="s">
        <v>927</v>
      </c>
      <c r="C16" s="812" t="s">
        <v>1025</v>
      </c>
      <c r="D16" s="812" t="s">
        <v>1025</v>
      </c>
      <c r="E16" s="812">
        <v>900</v>
      </c>
      <c r="G16" s="812">
        <v>900</v>
      </c>
      <c r="H16" s="812">
        <v>900</v>
      </c>
      <c r="J16" s="812" t="s">
        <v>1025</v>
      </c>
      <c r="K16" s="812" t="s">
        <v>1025</v>
      </c>
      <c r="L16" s="812" t="s">
        <v>1025</v>
      </c>
      <c r="N16" s="812" t="s">
        <v>1025</v>
      </c>
      <c r="O16" s="812" t="s">
        <v>1025</v>
      </c>
      <c r="Q16" s="812" t="s">
        <v>1025</v>
      </c>
    </row>
    <row r="17" spans="2:17">
      <c r="B17" t="s">
        <v>923</v>
      </c>
      <c r="C17" s="812" t="s">
        <v>1025</v>
      </c>
      <c r="D17" s="812" t="s">
        <v>1025</v>
      </c>
      <c r="E17" s="812">
        <v>146</v>
      </c>
      <c r="G17" s="812">
        <v>146</v>
      </c>
      <c r="H17" s="812">
        <v>146</v>
      </c>
      <c r="J17" s="812" t="s">
        <v>1025</v>
      </c>
      <c r="K17" s="812" t="s">
        <v>1025</v>
      </c>
      <c r="L17" s="812">
        <v>2500</v>
      </c>
      <c r="N17" s="812">
        <v>2500</v>
      </c>
      <c r="O17" s="812">
        <v>2500</v>
      </c>
      <c r="Q17" s="812">
        <v>6000</v>
      </c>
    </row>
    <row r="18" spans="2:17">
      <c r="B18" t="s">
        <v>922</v>
      </c>
      <c r="C18" s="812">
        <v>6292</v>
      </c>
      <c r="D18" s="812" t="s">
        <v>1025</v>
      </c>
      <c r="E18" t="s">
        <v>1025</v>
      </c>
      <c r="G18" s="812">
        <v>-6292</v>
      </c>
      <c r="H18" s="812" t="s">
        <v>1025</v>
      </c>
      <c r="J18" s="812">
        <v>7416</v>
      </c>
      <c r="K18" s="812" t="s">
        <v>1025</v>
      </c>
      <c r="L18" s="812" t="s">
        <v>1025</v>
      </c>
      <c r="N18" s="812">
        <v>-7416</v>
      </c>
      <c r="O18" t="s">
        <v>1025</v>
      </c>
      <c r="Q18" s="812" t="s">
        <v>1025</v>
      </c>
    </row>
    <row r="19" spans="2:17">
      <c r="D19" s="812"/>
      <c r="H19" s="812"/>
      <c r="K19" s="812"/>
      <c r="L19" s="812"/>
      <c r="N19" s="812"/>
      <c r="Q19" s="812"/>
    </row>
    <row r="20" spans="2:17">
      <c r="D20" s="812"/>
      <c r="H20" s="812"/>
      <c r="K20" s="812"/>
      <c r="O20" s="812"/>
    </row>
    <row r="21" spans="2:17">
      <c r="C21" s="812"/>
      <c r="D21" s="812"/>
      <c r="G21" s="812"/>
      <c r="H21" s="812"/>
      <c r="J21" s="812"/>
      <c r="K21" s="812"/>
      <c r="L21" s="812"/>
      <c r="Q21" s="812"/>
    </row>
    <row r="22" spans="2:17">
      <c r="C22" s="812"/>
      <c r="D22" s="812"/>
      <c r="G22" s="812"/>
      <c r="H22" s="812"/>
      <c r="J22" s="812"/>
      <c r="K22" s="812"/>
      <c r="L22" s="812"/>
      <c r="N22" s="812"/>
      <c r="O22" s="812"/>
      <c r="Q22" s="812"/>
    </row>
    <row r="23" spans="2:17">
      <c r="D23" s="812"/>
      <c r="J23" s="812"/>
      <c r="K23" s="812"/>
      <c r="L23" s="812"/>
      <c r="Q23" s="812"/>
    </row>
    <row r="24" spans="2:17">
      <c r="C24" s="812"/>
      <c r="E24" s="812"/>
      <c r="J24" s="812"/>
      <c r="K24" s="812"/>
      <c r="L24" s="812"/>
    </row>
    <row r="25" spans="2:17">
      <c r="K25" s="812"/>
      <c r="L25" s="812"/>
      <c r="N25" s="812"/>
      <c r="O25" s="812"/>
      <c r="Q25" s="812"/>
    </row>
    <row r="26" spans="2:17">
      <c r="C26" s="812"/>
      <c r="G26" s="812"/>
      <c r="J26" s="812"/>
      <c r="N26" s="812"/>
    </row>
    <row r="27" spans="2:17">
      <c r="C27" s="812"/>
      <c r="G27" s="812"/>
      <c r="J27" s="812"/>
      <c r="N27" s="812"/>
      <c r="Q27" s="812"/>
    </row>
    <row r="28" spans="2:17">
      <c r="C28" s="812"/>
      <c r="E28" s="812"/>
      <c r="H28" s="812"/>
      <c r="J28" s="812"/>
      <c r="N28" s="812"/>
      <c r="Q28" s="812"/>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sheetPr>
    <tabColor theme="0" tint="-0.14999847407452621"/>
  </sheetPr>
  <dimension ref="A1:M78"/>
  <sheetViews>
    <sheetView workbookViewId="0">
      <selection activeCell="C122" sqref="C122:I127"/>
    </sheetView>
  </sheetViews>
  <sheetFormatPr baseColWidth="10" defaultColWidth="11.42578125" defaultRowHeight="15"/>
  <cols>
    <col min="1" max="1" width="19.42578125" style="216" bestFit="1" customWidth="1"/>
    <col min="2" max="2" width="13.85546875" style="216" customWidth="1"/>
    <col min="3" max="3" width="19.42578125" style="216" bestFit="1" customWidth="1"/>
    <col min="4" max="4" width="16.85546875" style="216" bestFit="1" customWidth="1"/>
    <col min="5" max="5" width="19.42578125" style="216" bestFit="1" customWidth="1"/>
    <col min="6" max="6" width="18.7109375" style="216" bestFit="1" customWidth="1"/>
    <col min="7" max="7" width="30.5703125" style="216" bestFit="1" customWidth="1"/>
    <col min="8" max="8" width="12.42578125" style="216" bestFit="1" customWidth="1"/>
    <col min="9" max="9" width="17.7109375" style="216" bestFit="1" customWidth="1"/>
    <col min="10" max="11" width="22" style="216" bestFit="1" customWidth="1"/>
    <col min="12" max="12" width="21" style="216" bestFit="1" customWidth="1"/>
    <col min="13" max="13" width="21.28515625" style="216" bestFit="1" customWidth="1"/>
    <col min="14" max="15" width="11.42578125" style="216"/>
    <col min="16" max="16" width="14.5703125" style="216" bestFit="1" customWidth="1"/>
    <col min="17" max="16384" width="11.42578125" style="216"/>
  </cols>
  <sheetData>
    <row r="1" spans="1:13" ht="15.75" thickBot="1">
      <c r="A1" s="858" t="s">
        <v>392</v>
      </c>
      <c r="B1" s="858"/>
      <c r="C1" s="858"/>
      <c r="D1" s="858"/>
      <c r="E1" s="858"/>
      <c r="F1" s="858"/>
      <c r="G1" s="858"/>
      <c r="H1" s="858"/>
    </row>
    <row r="2" spans="1:13">
      <c r="A2" s="859" t="s">
        <v>393</v>
      </c>
      <c r="B2" s="860"/>
      <c r="C2" s="862" t="s">
        <v>1004</v>
      </c>
      <c r="D2" s="863"/>
      <c r="I2" s="402" t="s">
        <v>394</v>
      </c>
      <c r="J2" s="402" t="s">
        <v>395</v>
      </c>
      <c r="K2" s="402" t="s">
        <v>396</v>
      </c>
    </row>
    <row r="3" spans="1:13">
      <c r="A3" s="775" t="s">
        <v>397</v>
      </c>
      <c r="B3" s="726">
        <f>F4</f>
        <v>0</v>
      </c>
      <c r="C3" s="780" t="s">
        <v>1005</v>
      </c>
      <c r="D3" s="789">
        <v>1</v>
      </c>
      <c r="F3" s="786">
        <v>24795928.002999999</v>
      </c>
      <c r="G3" s="216" t="s">
        <v>951</v>
      </c>
      <c r="I3" s="403">
        <v>43525</v>
      </c>
      <c r="J3" s="403">
        <v>43556</v>
      </c>
      <c r="K3" s="402">
        <v>9</v>
      </c>
    </row>
    <row r="4" spans="1:13">
      <c r="A4" s="775" t="s">
        <v>398</v>
      </c>
      <c r="B4" s="404">
        <v>60</v>
      </c>
      <c r="C4" s="780" t="s">
        <v>830</v>
      </c>
      <c r="D4" s="785">
        <f>F3</f>
        <v>24795928.002999999</v>
      </c>
      <c r="F4" s="786"/>
      <c r="G4" s="216" t="s">
        <v>952</v>
      </c>
      <c r="I4" s="403">
        <v>43617</v>
      </c>
      <c r="J4" s="403">
        <v>43647</v>
      </c>
      <c r="K4" s="402">
        <v>6</v>
      </c>
    </row>
    <row r="5" spans="1:13">
      <c r="A5" s="775" t="s">
        <v>399</v>
      </c>
      <c r="B5" s="405">
        <f>B6/12</f>
        <v>1.25E-3</v>
      </c>
      <c r="C5" s="780" t="s">
        <v>1006</v>
      </c>
      <c r="D5" s="781">
        <v>2.1360000000000001E-2</v>
      </c>
      <c r="I5" s="403">
        <v>43709</v>
      </c>
      <c r="J5" s="403">
        <v>43739</v>
      </c>
      <c r="K5" s="402">
        <v>3</v>
      </c>
    </row>
    <row r="6" spans="1:13">
      <c r="A6" s="776" t="s">
        <v>400</v>
      </c>
      <c r="B6" s="406">
        <v>1.4999999999999999E-2</v>
      </c>
      <c r="C6" s="780" t="s">
        <v>1007</v>
      </c>
      <c r="D6" s="781">
        <f>D5/2</f>
        <v>1.068E-2</v>
      </c>
      <c r="E6" s="658">
        <f>-D4*D6*(IF(D3=1,2,IF(D3&gt;6,0,1)))</f>
        <v>-529641.02214408002</v>
      </c>
      <c r="F6" s="216" t="s">
        <v>1012</v>
      </c>
    </row>
    <row r="7" spans="1:13">
      <c r="A7" s="787" t="s">
        <v>401</v>
      </c>
      <c r="B7" s="788">
        <f>PMT(B5,B4,B3,,0)</f>
        <v>0</v>
      </c>
      <c r="C7" s="780" t="s">
        <v>1008</v>
      </c>
      <c r="D7" s="782">
        <v>360</v>
      </c>
    </row>
    <row r="8" spans="1:13">
      <c r="A8" s="777" t="s">
        <v>402</v>
      </c>
      <c r="B8" s="496">
        <v>43525</v>
      </c>
      <c r="C8" s="864" t="s">
        <v>1009</v>
      </c>
      <c r="D8" s="783" t="s">
        <v>1010</v>
      </c>
    </row>
    <row r="9" spans="1:13" ht="15.75" thickBot="1">
      <c r="A9" s="778" t="s">
        <v>403</v>
      </c>
      <c r="B9" s="779">
        <v>43556</v>
      </c>
      <c r="C9" s="865"/>
      <c r="D9" s="784" t="s">
        <v>1011</v>
      </c>
    </row>
    <row r="11" spans="1:13">
      <c r="E11" s="216" t="s">
        <v>418</v>
      </c>
      <c r="I11" s="407" t="s">
        <v>404</v>
      </c>
      <c r="J11" s="407" t="s">
        <v>394</v>
      </c>
      <c r="K11" s="407" t="s">
        <v>395</v>
      </c>
      <c r="L11" s="407" t="s">
        <v>405</v>
      </c>
      <c r="M11" s="407" t="s">
        <v>406</v>
      </c>
    </row>
    <row r="12" spans="1:13">
      <c r="D12" s="423" t="s">
        <v>416</v>
      </c>
      <c r="E12" s="562">
        <v>1</v>
      </c>
      <c r="I12" s="861">
        <f>-B3</f>
        <v>0</v>
      </c>
      <c r="J12" s="403">
        <f>I3</f>
        <v>43525</v>
      </c>
      <c r="K12" s="403">
        <v>43556</v>
      </c>
      <c r="L12" s="408">
        <f>SUM(D19:D27)</f>
        <v>0</v>
      </c>
      <c r="M12" s="408">
        <f>SUM(C19:C27)</f>
        <v>0</v>
      </c>
    </row>
    <row r="13" spans="1:13">
      <c r="A13" s="216" t="s">
        <v>407</v>
      </c>
      <c r="B13" s="409">
        <f>B3</f>
        <v>0</v>
      </c>
      <c r="D13" s="423" t="s">
        <v>417</v>
      </c>
      <c r="E13" s="424">
        <f>SUMPRODUCT(G19:G30,D19:D30)</f>
        <v>0</v>
      </c>
      <c r="F13" s="216" t="s">
        <v>1012</v>
      </c>
      <c r="I13" s="861"/>
      <c r="J13" s="403">
        <f>I4</f>
        <v>43617</v>
      </c>
      <c r="K13" s="403">
        <v>43647</v>
      </c>
      <c r="L13" s="408">
        <f>SUM(D19:D24)</f>
        <v>0</v>
      </c>
      <c r="M13" s="408">
        <f>SUM(C19:C24)</f>
        <v>0</v>
      </c>
    </row>
    <row r="14" spans="1:13">
      <c r="A14" s="216" t="s">
        <v>408</v>
      </c>
      <c r="B14" s="216">
        <f>B4</f>
        <v>60</v>
      </c>
      <c r="I14" s="861"/>
      <c r="J14" s="403">
        <f>I5</f>
        <v>43709</v>
      </c>
      <c r="K14" s="403">
        <v>43739</v>
      </c>
      <c r="L14" s="408">
        <f>SUM(D19:D21)</f>
        <v>0</v>
      </c>
      <c r="M14" s="408">
        <f>SUM(C19:C21)</f>
        <v>0</v>
      </c>
    </row>
    <row r="15" spans="1:13">
      <c r="A15" s="216" t="s">
        <v>409</v>
      </c>
      <c r="B15" s="410">
        <f>B5</f>
        <v>1.25E-3</v>
      </c>
      <c r="I15" s="411"/>
      <c r="L15" s="422"/>
    </row>
    <row r="16" spans="1:13" ht="15.75" thickBot="1">
      <c r="A16" s="216" t="s">
        <v>410</v>
      </c>
      <c r="B16" s="412">
        <f>PMT(B15,B14,B13)</f>
        <v>0</v>
      </c>
    </row>
    <row r="17" spans="1:13">
      <c r="A17" s="413"/>
      <c r="B17" s="414" t="s">
        <v>411</v>
      </c>
      <c r="C17" s="414" t="s">
        <v>412</v>
      </c>
      <c r="D17" s="414" t="s">
        <v>413</v>
      </c>
      <c r="E17" s="414" t="s">
        <v>414</v>
      </c>
      <c r="F17" s="415" t="s">
        <v>415</v>
      </c>
    </row>
    <row r="18" spans="1:13">
      <c r="A18" s="416">
        <v>0</v>
      </c>
      <c r="B18" s="417">
        <f>-B3</f>
        <v>0</v>
      </c>
      <c r="C18" s="417"/>
      <c r="D18" s="417"/>
      <c r="E18" s="417"/>
      <c r="F18" s="418">
        <f>B18</f>
        <v>0</v>
      </c>
      <c r="I18" s="216">
        <f>SUM(I19:I30)</f>
        <v>13</v>
      </c>
      <c r="L18" s="216" t="s">
        <v>666</v>
      </c>
      <c r="M18" s="409">
        <f>SUMPRODUCT(F19:F30,H19:H30)-F3</f>
        <v>-24795928.002999999</v>
      </c>
    </row>
    <row r="19" spans="1:13">
      <c r="A19" s="416">
        <v>1</v>
      </c>
      <c r="B19" s="417"/>
      <c r="C19" s="417">
        <f>E19-D19</f>
        <v>0</v>
      </c>
      <c r="D19" s="417">
        <f>F18*$B$15</f>
        <v>0</v>
      </c>
      <c r="E19" s="417">
        <f>$B$16</f>
        <v>0</v>
      </c>
      <c r="F19" s="418">
        <f>F18-C19</f>
        <v>0</v>
      </c>
      <c r="G19" s="216">
        <f>IF(A19&gt;$E$12,0,1)</f>
        <v>1</v>
      </c>
      <c r="H19" s="216">
        <f>G19-G20</f>
        <v>1</v>
      </c>
      <c r="I19" s="216">
        <f>IF(H19=1,A19+12,0)</f>
        <v>13</v>
      </c>
      <c r="J19" s="216">
        <f>IF(A19=$I$18,1,0)</f>
        <v>0</v>
      </c>
      <c r="L19" s="216" t="s">
        <v>667</v>
      </c>
      <c r="M19" s="409">
        <f>SUMPRODUCT(F19:F42,J19:J42)-P18-F3</f>
        <v>-24795928.002999999</v>
      </c>
    </row>
    <row r="20" spans="1:13">
      <c r="A20" s="416">
        <v>2</v>
      </c>
      <c r="B20" s="417"/>
      <c r="C20" s="417">
        <f t="shared" ref="C20:C78" si="0">E20-D20</f>
        <v>0</v>
      </c>
      <c r="D20" s="417">
        <f t="shared" ref="D20:D78" si="1">F19*$B$15</f>
        <v>0</v>
      </c>
      <c r="E20" s="417">
        <f t="shared" ref="E20:E78" si="2">$B$16</f>
        <v>0</v>
      </c>
      <c r="F20" s="418">
        <f t="shared" ref="F20:F78" si="3">F19-C20</f>
        <v>0</v>
      </c>
      <c r="G20" s="216">
        <f t="shared" ref="G20:G30" si="4">IF(A20&gt;$E$12,0,1)</f>
        <v>0</v>
      </c>
      <c r="H20" s="216">
        <f>G20-G21</f>
        <v>0</v>
      </c>
      <c r="I20" s="216">
        <f t="shared" ref="I20:I30" si="5">IF(H20=1,A20+12,0)</f>
        <v>0</v>
      </c>
      <c r="J20" s="216">
        <f t="shared" ref="J20:J42" si="6">IF(A20=$I$18,1,0)</f>
        <v>0</v>
      </c>
      <c r="L20" s="216" t="s">
        <v>668</v>
      </c>
      <c r="M20" s="409">
        <f>M18-M19</f>
        <v>0</v>
      </c>
    </row>
    <row r="21" spans="1:13">
      <c r="A21" s="416">
        <f>1+A20</f>
        <v>3</v>
      </c>
      <c r="B21" s="417"/>
      <c r="C21" s="417">
        <f t="shared" si="0"/>
        <v>0</v>
      </c>
      <c r="D21" s="417">
        <f t="shared" si="1"/>
        <v>0</v>
      </c>
      <c r="E21" s="417">
        <f t="shared" si="2"/>
        <v>0</v>
      </c>
      <c r="F21" s="418">
        <f t="shared" si="3"/>
        <v>0</v>
      </c>
      <c r="G21" s="216">
        <f t="shared" si="4"/>
        <v>0</v>
      </c>
      <c r="H21" s="216">
        <f>G21-G22</f>
        <v>0</v>
      </c>
      <c r="I21" s="216">
        <f t="shared" si="5"/>
        <v>0</v>
      </c>
      <c r="J21" s="216">
        <f t="shared" si="6"/>
        <v>0</v>
      </c>
      <c r="M21" s="725">
        <f>M18-M19-M20</f>
        <v>0</v>
      </c>
    </row>
    <row r="22" spans="1:13">
      <c r="A22" s="416">
        <f t="shared" ref="A22:A78" si="7">1+A21</f>
        <v>4</v>
      </c>
      <c r="B22" s="417"/>
      <c r="C22" s="417">
        <f t="shared" si="0"/>
        <v>0</v>
      </c>
      <c r="D22" s="417">
        <f t="shared" si="1"/>
        <v>0</v>
      </c>
      <c r="E22" s="417">
        <f t="shared" si="2"/>
        <v>0</v>
      </c>
      <c r="F22" s="418">
        <f t="shared" si="3"/>
        <v>0</v>
      </c>
      <c r="G22" s="216">
        <f t="shared" si="4"/>
        <v>0</v>
      </c>
      <c r="H22" s="216">
        <f t="shared" ref="H22:H30" si="8">G22-G23</f>
        <v>0</v>
      </c>
      <c r="I22" s="216">
        <f t="shared" si="5"/>
        <v>0</v>
      </c>
      <c r="J22" s="216">
        <f t="shared" si="6"/>
        <v>0</v>
      </c>
    </row>
    <row r="23" spans="1:13">
      <c r="A23" s="416">
        <f t="shared" si="7"/>
        <v>5</v>
      </c>
      <c r="B23" s="417"/>
      <c r="C23" s="417">
        <f t="shared" si="0"/>
        <v>0</v>
      </c>
      <c r="D23" s="417">
        <f t="shared" si="1"/>
        <v>0</v>
      </c>
      <c r="E23" s="417">
        <f t="shared" si="2"/>
        <v>0</v>
      </c>
      <c r="F23" s="418">
        <f t="shared" si="3"/>
        <v>0</v>
      </c>
      <c r="G23" s="216">
        <f t="shared" si="4"/>
        <v>0</v>
      </c>
      <c r="H23" s="216">
        <f t="shared" si="8"/>
        <v>0</v>
      </c>
      <c r="I23" s="216">
        <f t="shared" si="5"/>
        <v>0</v>
      </c>
      <c r="J23" s="216">
        <f t="shared" si="6"/>
        <v>0</v>
      </c>
    </row>
    <row r="24" spans="1:13">
      <c r="A24" s="416">
        <f t="shared" si="7"/>
        <v>6</v>
      </c>
      <c r="B24" s="417"/>
      <c r="C24" s="417">
        <f t="shared" si="0"/>
        <v>0</v>
      </c>
      <c r="D24" s="417">
        <f t="shared" si="1"/>
        <v>0</v>
      </c>
      <c r="E24" s="417">
        <f t="shared" si="2"/>
        <v>0</v>
      </c>
      <c r="F24" s="418">
        <f t="shared" si="3"/>
        <v>0</v>
      </c>
      <c r="G24" s="216">
        <f t="shared" si="4"/>
        <v>0</v>
      </c>
      <c r="H24" s="216">
        <f t="shared" si="8"/>
        <v>0</v>
      </c>
      <c r="I24" s="216">
        <f t="shared" si="5"/>
        <v>0</v>
      </c>
      <c r="J24" s="216">
        <f t="shared" si="6"/>
        <v>0</v>
      </c>
    </row>
    <row r="25" spans="1:13">
      <c r="A25" s="416">
        <f t="shared" si="7"/>
        <v>7</v>
      </c>
      <c r="B25" s="417"/>
      <c r="C25" s="417">
        <f t="shared" si="0"/>
        <v>0</v>
      </c>
      <c r="D25" s="417">
        <f t="shared" si="1"/>
        <v>0</v>
      </c>
      <c r="E25" s="417">
        <f t="shared" si="2"/>
        <v>0</v>
      </c>
      <c r="F25" s="418">
        <f t="shared" si="3"/>
        <v>0</v>
      </c>
      <c r="G25" s="216">
        <f t="shared" si="4"/>
        <v>0</v>
      </c>
      <c r="H25" s="216">
        <f t="shared" si="8"/>
        <v>0</v>
      </c>
      <c r="I25" s="216">
        <f t="shared" si="5"/>
        <v>0</v>
      </c>
      <c r="J25" s="216">
        <f t="shared" si="6"/>
        <v>0</v>
      </c>
    </row>
    <row r="26" spans="1:13">
      <c r="A26" s="416">
        <f t="shared" si="7"/>
        <v>8</v>
      </c>
      <c r="B26" s="417"/>
      <c r="C26" s="417">
        <f t="shared" si="0"/>
        <v>0</v>
      </c>
      <c r="D26" s="417">
        <f t="shared" si="1"/>
        <v>0</v>
      </c>
      <c r="E26" s="417">
        <f t="shared" si="2"/>
        <v>0</v>
      </c>
      <c r="F26" s="418">
        <f t="shared" si="3"/>
        <v>0</v>
      </c>
      <c r="G26" s="216">
        <f t="shared" si="4"/>
        <v>0</v>
      </c>
      <c r="H26" s="216">
        <f t="shared" si="8"/>
        <v>0</v>
      </c>
      <c r="I26" s="216">
        <f t="shared" si="5"/>
        <v>0</v>
      </c>
      <c r="J26" s="216">
        <f t="shared" si="6"/>
        <v>0</v>
      </c>
    </row>
    <row r="27" spans="1:13">
      <c r="A27" s="416">
        <f t="shared" si="7"/>
        <v>9</v>
      </c>
      <c r="B27" s="417"/>
      <c r="C27" s="417">
        <f t="shared" si="0"/>
        <v>0</v>
      </c>
      <c r="D27" s="417">
        <f t="shared" si="1"/>
        <v>0</v>
      </c>
      <c r="E27" s="417">
        <f t="shared" si="2"/>
        <v>0</v>
      </c>
      <c r="F27" s="418">
        <f t="shared" si="3"/>
        <v>0</v>
      </c>
      <c r="G27" s="216">
        <f t="shared" si="4"/>
        <v>0</v>
      </c>
      <c r="H27" s="216">
        <f t="shared" si="8"/>
        <v>0</v>
      </c>
      <c r="I27" s="216">
        <f t="shared" si="5"/>
        <v>0</v>
      </c>
      <c r="J27" s="216">
        <f t="shared" si="6"/>
        <v>0</v>
      </c>
    </row>
    <row r="28" spans="1:13">
      <c r="A28" s="416">
        <f t="shared" si="7"/>
        <v>10</v>
      </c>
      <c r="B28" s="417"/>
      <c r="C28" s="417">
        <f t="shared" si="0"/>
        <v>0</v>
      </c>
      <c r="D28" s="417">
        <f t="shared" si="1"/>
        <v>0</v>
      </c>
      <c r="E28" s="417">
        <f t="shared" si="2"/>
        <v>0</v>
      </c>
      <c r="F28" s="418">
        <f t="shared" si="3"/>
        <v>0</v>
      </c>
      <c r="G28" s="216">
        <f t="shared" si="4"/>
        <v>0</v>
      </c>
      <c r="H28" s="216">
        <f t="shared" si="8"/>
        <v>0</v>
      </c>
      <c r="I28" s="216">
        <f t="shared" si="5"/>
        <v>0</v>
      </c>
      <c r="J28" s="216">
        <f t="shared" si="6"/>
        <v>0</v>
      </c>
    </row>
    <row r="29" spans="1:13">
      <c r="A29" s="416">
        <f t="shared" si="7"/>
        <v>11</v>
      </c>
      <c r="B29" s="417"/>
      <c r="C29" s="417">
        <f t="shared" si="0"/>
        <v>0</v>
      </c>
      <c r="D29" s="417">
        <f t="shared" si="1"/>
        <v>0</v>
      </c>
      <c r="E29" s="417">
        <f t="shared" si="2"/>
        <v>0</v>
      </c>
      <c r="F29" s="418">
        <f t="shared" si="3"/>
        <v>0</v>
      </c>
      <c r="G29" s="216">
        <f t="shared" si="4"/>
        <v>0</v>
      </c>
      <c r="H29" s="216">
        <f t="shared" si="8"/>
        <v>0</v>
      </c>
      <c r="I29" s="216">
        <f t="shared" si="5"/>
        <v>0</v>
      </c>
      <c r="J29" s="216">
        <f t="shared" si="6"/>
        <v>0</v>
      </c>
    </row>
    <row r="30" spans="1:13" ht="15.75" thickBot="1">
      <c r="A30" s="419">
        <f t="shared" si="7"/>
        <v>12</v>
      </c>
      <c r="B30" s="420"/>
      <c r="C30" s="420">
        <f t="shared" si="0"/>
        <v>0</v>
      </c>
      <c r="D30" s="420">
        <f t="shared" si="1"/>
        <v>0</v>
      </c>
      <c r="E30" s="420">
        <f t="shared" si="2"/>
        <v>0</v>
      </c>
      <c r="F30" s="421">
        <f t="shared" si="3"/>
        <v>0</v>
      </c>
      <c r="G30" s="216">
        <f t="shared" si="4"/>
        <v>0</v>
      </c>
      <c r="H30" s="216">
        <f t="shared" si="8"/>
        <v>0</v>
      </c>
      <c r="I30" s="216">
        <f t="shared" si="5"/>
        <v>0</v>
      </c>
      <c r="J30" s="216">
        <f t="shared" si="6"/>
        <v>0</v>
      </c>
    </row>
    <row r="31" spans="1:13">
      <c r="A31" s="216">
        <f t="shared" si="7"/>
        <v>13</v>
      </c>
      <c r="B31" s="409"/>
      <c r="C31" s="409">
        <f t="shared" si="0"/>
        <v>0</v>
      </c>
      <c r="D31" s="409">
        <f t="shared" si="1"/>
        <v>0</v>
      </c>
      <c r="E31" s="409">
        <f t="shared" si="2"/>
        <v>0</v>
      </c>
      <c r="F31" s="409">
        <f t="shared" si="3"/>
        <v>0</v>
      </c>
      <c r="J31" s="216">
        <f t="shared" si="6"/>
        <v>1</v>
      </c>
    </row>
    <row r="32" spans="1:13">
      <c r="A32" s="216">
        <f t="shared" si="7"/>
        <v>14</v>
      </c>
      <c r="B32" s="409"/>
      <c r="C32" s="409">
        <f t="shared" si="0"/>
        <v>0</v>
      </c>
      <c r="D32" s="409">
        <f t="shared" si="1"/>
        <v>0</v>
      </c>
      <c r="E32" s="409">
        <f t="shared" si="2"/>
        <v>0</v>
      </c>
      <c r="F32" s="409">
        <f t="shared" si="3"/>
        <v>0</v>
      </c>
      <c r="J32" s="216">
        <f t="shared" si="6"/>
        <v>0</v>
      </c>
    </row>
    <row r="33" spans="1:10">
      <c r="A33" s="216">
        <f t="shared" si="7"/>
        <v>15</v>
      </c>
      <c r="B33" s="409"/>
      <c r="C33" s="409">
        <f t="shared" si="0"/>
        <v>0</v>
      </c>
      <c r="D33" s="409">
        <f t="shared" si="1"/>
        <v>0</v>
      </c>
      <c r="E33" s="409">
        <f t="shared" si="2"/>
        <v>0</v>
      </c>
      <c r="F33" s="409">
        <f t="shared" si="3"/>
        <v>0</v>
      </c>
      <c r="J33" s="216">
        <f t="shared" si="6"/>
        <v>0</v>
      </c>
    </row>
    <row r="34" spans="1:10">
      <c r="A34" s="216">
        <f t="shared" si="7"/>
        <v>16</v>
      </c>
      <c r="B34" s="409"/>
      <c r="C34" s="409">
        <f t="shared" si="0"/>
        <v>0</v>
      </c>
      <c r="D34" s="409">
        <f t="shared" si="1"/>
        <v>0</v>
      </c>
      <c r="E34" s="409">
        <f t="shared" si="2"/>
        <v>0</v>
      </c>
      <c r="F34" s="409">
        <f t="shared" si="3"/>
        <v>0</v>
      </c>
      <c r="J34" s="216">
        <f t="shared" si="6"/>
        <v>0</v>
      </c>
    </row>
    <row r="35" spans="1:10">
      <c r="A35" s="216">
        <f t="shared" si="7"/>
        <v>17</v>
      </c>
      <c r="B35" s="409"/>
      <c r="C35" s="409">
        <f t="shared" si="0"/>
        <v>0</v>
      </c>
      <c r="D35" s="409">
        <f t="shared" si="1"/>
        <v>0</v>
      </c>
      <c r="E35" s="409">
        <f t="shared" si="2"/>
        <v>0</v>
      </c>
      <c r="F35" s="409">
        <f t="shared" si="3"/>
        <v>0</v>
      </c>
      <c r="J35" s="216">
        <f t="shared" si="6"/>
        <v>0</v>
      </c>
    </row>
    <row r="36" spans="1:10">
      <c r="A36" s="216">
        <f t="shared" si="7"/>
        <v>18</v>
      </c>
      <c r="B36" s="409"/>
      <c r="C36" s="409">
        <f t="shared" si="0"/>
        <v>0</v>
      </c>
      <c r="D36" s="409">
        <f t="shared" si="1"/>
        <v>0</v>
      </c>
      <c r="E36" s="409">
        <f t="shared" si="2"/>
        <v>0</v>
      </c>
      <c r="F36" s="409">
        <f t="shared" si="3"/>
        <v>0</v>
      </c>
      <c r="J36" s="216">
        <f t="shared" si="6"/>
        <v>0</v>
      </c>
    </row>
    <row r="37" spans="1:10">
      <c r="A37" s="216">
        <f t="shared" si="7"/>
        <v>19</v>
      </c>
      <c r="B37" s="409"/>
      <c r="C37" s="409">
        <f t="shared" si="0"/>
        <v>0</v>
      </c>
      <c r="D37" s="409">
        <f t="shared" si="1"/>
        <v>0</v>
      </c>
      <c r="E37" s="409">
        <f t="shared" si="2"/>
        <v>0</v>
      </c>
      <c r="F37" s="409">
        <f t="shared" si="3"/>
        <v>0</v>
      </c>
      <c r="J37" s="216">
        <f t="shared" si="6"/>
        <v>0</v>
      </c>
    </row>
    <row r="38" spans="1:10">
      <c r="A38" s="216">
        <f t="shared" si="7"/>
        <v>20</v>
      </c>
      <c r="B38" s="409"/>
      <c r="C38" s="409">
        <f t="shared" si="0"/>
        <v>0</v>
      </c>
      <c r="D38" s="409">
        <f t="shared" si="1"/>
        <v>0</v>
      </c>
      <c r="E38" s="409">
        <f t="shared" si="2"/>
        <v>0</v>
      </c>
      <c r="F38" s="409">
        <f t="shared" si="3"/>
        <v>0</v>
      </c>
      <c r="J38" s="216">
        <f t="shared" si="6"/>
        <v>0</v>
      </c>
    </row>
    <row r="39" spans="1:10">
      <c r="A39" s="216">
        <f t="shared" si="7"/>
        <v>21</v>
      </c>
      <c r="B39" s="409"/>
      <c r="C39" s="409">
        <f t="shared" si="0"/>
        <v>0</v>
      </c>
      <c r="D39" s="409">
        <f t="shared" si="1"/>
        <v>0</v>
      </c>
      <c r="E39" s="409">
        <f t="shared" si="2"/>
        <v>0</v>
      </c>
      <c r="F39" s="409">
        <f t="shared" si="3"/>
        <v>0</v>
      </c>
      <c r="J39" s="216">
        <f t="shared" si="6"/>
        <v>0</v>
      </c>
    </row>
    <row r="40" spans="1:10">
      <c r="A40" s="216">
        <f t="shared" si="7"/>
        <v>22</v>
      </c>
      <c r="B40" s="409"/>
      <c r="C40" s="409">
        <f t="shared" si="0"/>
        <v>0</v>
      </c>
      <c r="D40" s="409">
        <f t="shared" si="1"/>
        <v>0</v>
      </c>
      <c r="E40" s="409">
        <f t="shared" si="2"/>
        <v>0</v>
      </c>
      <c r="F40" s="409">
        <f t="shared" si="3"/>
        <v>0</v>
      </c>
      <c r="J40" s="216">
        <f t="shared" si="6"/>
        <v>0</v>
      </c>
    </row>
    <row r="41" spans="1:10">
      <c r="A41" s="216">
        <f t="shared" si="7"/>
        <v>23</v>
      </c>
      <c r="B41" s="409"/>
      <c r="C41" s="409">
        <f t="shared" si="0"/>
        <v>0</v>
      </c>
      <c r="D41" s="409">
        <f t="shared" si="1"/>
        <v>0</v>
      </c>
      <c r="E41" s="409">
        <f t="shared" si="2"/>
        <v>0</v>
      </c>
      <c r="F41" s="409">
        <f t="shared" si="3"/>
        <v>0</v>
      </c>
      <c r="J41" s="216">
        <f>IF(A41=$I$18,1,0)</f>
        <v>0</v>
      </c>
    </row>
    <row r="42" spans="1:10">
      <c r="A42" s="216">
        <f>1+A41</f>
        <v>24</v>
      </c>
      <c r="B42" s="409"/>
      <c r="C42" s="409">
        <f t="shared" si="0"/>
        <v>0</v>
      </c>
      <c r="D42" s="409">
        <f t="shared" si="1"/>
        <v>0</v>
      </c>
      <c r="E42" s="409">
        <f t="shared" si="2"/>
        <v>0</v>
      </c>
      <c r="F42" s="409">
        <f t="shared" si="3"/>
        <v>0</v>
      </c>
      <c r="J42" s="216">
        <f t="shared" si="6"/>
        <v>0</v>
      </c>
    </row>
    <row r="43" spans="1:10">
      <c r="A43" s="216">
        <f t="shared" si="7"/>
        <v>25</v>
      </c>
      <c r="B43" s="409"/>
      <c r="C43" s="409">
        <f t="shared" si="0"/>
        <v>0</v>
      </c>
      <c r="D43" s="409">
        <f t="shared" si="1"/>
        <v>0</v>
      </c>
      <c r="E43" s="409">
        <f t="shared" si="2"/>
        <v>0</v>
      </c>
      <c r="F43" s="409">
        <f t="shared" si="3"/>
        <v>0</v>
      </c>
    </row>
    <row r="44" spans="1:10">
      <c r="A44" s="216">
        <f t="shared" si="7"/>
        <v>26</v>
      </c>
      <c r="B44" s="409"/>
      <c r="C44" s="409">
        <f t="shared" si="0"/>
        <v>0</v>
      </c>
      <c r="D44" s="409">
        <f t="shared" si="1"/>
        <v>0</v>
      </c>
      <c r="E44" s="409">
        <f t="shared" si="2"/>
        <v>0</v>
      </c>
      <c r="F44" s="409">
        <f t="shared" si="3"/>
        <v>0</v>
      </c>
    </row>
    <row r="45" spans="1:10">
      <c r="A45" s="216">
        <f t="shared" si="7"/>
        <v>27</v>
      </c>
      <c r="B45" s="409"/>
      <c r="C45" s="409">
        <f t="shared" si="0"/>
        <v>0</v>
      </c>
      <c r="D45" s="409">
        <f t="shared" si="1"/>
        <v>0</v>
      </c>
      <c r="E45" s="409">
        <f t="shared" si="2"/>
        <v>0</v>
      </c>
      <c r="F45" s="409">
        <f t="shared" si="3"/>
        <v>0</v>
      </c>
    </row>
    <row r="46" spans="1:10">
      <c r="A46" s="216">
        <f t="shared" si="7"/>
        <v>28</v>
      </c>
      <c r="B46" s="409"/>
      <c r="C46" s="409">
        <f t="shared" si="0"/>
        <v>0</v>
      </c>
      <c r="D46" s="409">
        <f t="shared" si="1"/>
        <v>0</v>
      </c>
      <c r="E46" s="409">
        <f t="shared" si="2"/>
        <v>0</v>
      </c>
      <c r="F46" s="409">
        <f t="shared" si="3"/>
        <v>0</v>
      </c>
    </row>
    <row r="47" spans="1:10">
      <c r="A47" s="216">
        <f t="shared" si="7"/>
        <v>29</v>
      </c>
      <c r="B47" s="409"/>
      <c r="C47" s="409">
        <f t="shared" si="0"/>
        <v>0</v>
      </c>
      <c r="D47" s="409">
        <f t="shared" si="1"/>
        <v>0</v>
      </c>
      <c r="E47" s="409">
        <f t="shared" si="2"/>
        <v>0</v>
      </c>
      <c r="F47" s="409">
        <f t="shared" si="3"/>
        <v>0</v>
      </c>
    </row>
    <row r="48" spans="1:10">
      <c r="A48" s="216">
        <f t="shared" si="7"/>
        <v>30</v>
      </c>
      <c r="B48" s="409"/>
      <c r="C48" s="409">
        <f t="shared" si="0"/>
        <v>0</v>
      </c>
      <c r="D48" s="409">
        <f t="shared" si="1"/>
        <v>0</v>
      </c>
      <c r="E48" s="409">
        <f t="shared" si="2"/>
        <v>0</v>
      </c>
      <c r="F48" s="409">
        <f t="shared" si="3"/>
        <v>0</v>
      </c>
    </row>
    <row r="49" spans="1:6">
      <c r="A49" s="216">
        <f t="shared" si="7"/>
        <v>31</v>
      </c>
      <c r="B49" s="409"/>
      <c r="C49" s="409">
        <f t="shared" si="0"/>
        <v>0</v>
      </c>
      <c r="D49" s="409">
        <f t="shared" si="1"/>
        <v>0</v>
      </c>
      <c r="E49" s="409">
        <f t="shared" si="2"/>
        <v>0</v>
      </c>
      <c r="F49" s="409">
        <f t="shared" si="3"/>
        <v>0</v>
      </c>
    </row>
    <row r="50" spans="1:6">
      <c r="A50" s="216">
        <f>1+A49</f>
        <v>32</v>
      </c>
      <c r="B50" s="409"/>
      <c r="C50" s="409">
        <f t="shared" si="0"/>
        <v>0</v>
      </c>
      <c r="D50" s="409">
        <f t="shared" si="1"/>
        <v>0</v>
      </c>
      <c r="E50" s="409">
        <f t="shared" si="2"/>
        <v>0</v>
      </c>
      <c r="F50" s="409">
        <f t="shared" si="3"/>
        <v>0</v>
      </c>
    </row>
    <row r="51" spans="1:6">
      <c r="A51" s="216">
        <f t="shared" si="7"/>
        <v>33</v>
      </c>
      <c r="B51" s="409"/>
      <c r="C51" s="409">
        <f t="shared" si="0"/>
        <v>0</v>
      </c>
      <c r="D51" s="409">
        <f t="shared" si="1"/>
        <v>0</v>
      </c>
      <c r="E51" s="409">
        <f t="shared" si="2"/>
        <v>0</v>
      </c>
      <c r="F51" s="409">
        <f t="shared" si="3"/>
        <v>0</v>
      </c>
    </row>
    <row r="52" spans="1:6">
      <c r="A52" s="216">
        <f t="shared" si="7"/>
        <v>34</v>
      </c>
      <c r="B52" s="409"/>
      <c r="C52" s="409">
        <f t="shared" si="0"/>
        <v>0</v>
      </c>
      <c r="D52" s="409">
        <f t="shared" si="1"/>
        <v>0</v>
      </c>
      <c r="E52" s="409">
        <f t="shared" si="2"/>
        <v>0</v>
      </c>
      <c r="F52" s="409">
        <f t="shared" si="3"/>
        <v>0</v>
      </c>
    </row>
    <row r="53" spans="1:6">
      <c r="A53" s="216">
        <f t="shared" si="7"/>
        <v>35</v>
      </c>
      <c r="B53" s="409"/>
      <c r="C53" s="409">
        <f t="shared" si="0"/>
        <v>0</v>
      </c>
      <c r="D53" s="409">
        <f t="shared" si="1"/>
        <v>0</v>
      </c>
      <c r="E53" s="409">
        <f t="shared" si="2"/>
        <v>0</v>
      </c>
      <c r="F53" s="409">
        <f t="shared" si="3"/>
        <v>0</v>
      </c>
    </row>
    <row r="54" spans="1:6">
      <c r="A54" s="216">
        <f t="shared" si="7"/>
        <v>36</v>
      </c>
      <c r="B54" s="409"/>
      <c r="C54" s="409">
        <f t="shared" si="0"/>
        <v>0</v>
      </c>
      <c r="D54" s="409">
        <f t="shared" si="1"/>
        <v>0</v>
      </c>
      <c r="E54" s="409">
        <f t="shared" si="2"/>
        <v>0</v>
      </c>
      <c r="F54" s="409">
        <f t="shared" si="3"/>
        <v>0</v>
      </c>
    </row>
    <row r="55" spans="1:6">
      <c r="A55" s="216">
        <f t="shared" si="7"/>
        <v>37</v>
      </c>
      <c r="B55" s="409"/>
      <c r="C55" s="409">
        <f t="shared" si="0"/>
        <v>0</v>
      </c>
      <c r="D55" s="409">
        <f t="shared" si="1"/>
        <v>0</v>
      </c>
      <c r="E55" s="409">
        <f t="shared" si="2"/>
        <v>0</v>
      </c>
      <c r="F55" s="409">
        <f t="shared" si="3"/>
        <v>0</v>
      </c>
    </row>
    <row r="56" spans="1:6">
      <c r="A56" s="216">
        <f t="shared" si="7"/>
        <v>38</v>
      </c>
      <c r="B56" s="409"/>
      <c r="C56" s="409">
        <f t="shared" si="0"/>
        <v>0</v>
      </c>
      <c r="D56" s="409">
        <f t="shared" si="1"/>
        <v>0</v>
      </c>
      <c r="E56" s="409">
        <f t="shared" si="2"/>
        <v>0</v>
      </c>
      <c r="F56" s="409">
        <f t="shared" si="3"/>
        <v>0</v>
      </c>
    </row>
    <row r="57" spans="1:6">
      <c r="A57" s="216">
        <f t="shared" si="7"/>
        <v>39</v>
      </c>
      <c r="B57" s="409"/>
      <c r="C57" s="409">
        <f t="shared" si="0"/>
        <v>0</v>
      </c>
      <c r="D57" s="409">
        <f t="shared" si="1"/>
        <v>0</v>
      </c>
      <c r="E57" s="409">
        <f t="shared" si="2"/>
        <v>0</v>
      </c>
      <c r="F57" s="409">
        <f t="shared" si="3"/>
        <v>0</v>
      </c>
    </row>
    <row r="58" spans="1:6">
      <c r="A58" s="216">
        <f t="shared" si="7"/>
        <v>40</v>
      </c>
      <c r="B58" s="409"/>
      <c r="C58" s="409">
        <f t="shared" si="0"/>
        <v>0</v>
      </c>
      <c r="D58" s="409">
        <f t="shared" si="1"/>
        <v>0</v>
      </c>
      <c r="E58" s="409">
        <f t="shared" si="2"/>
        <v>0</v>
      </c>
      <c r="F58" s="409">
        <f t="shared" si="3"/>
        <v>0</v>
      </c>
    </row>
    <row r="59" spans="1:6">
      <c r="A59" s="216">
        <f t="shared" si="7"/>
        <v>41</v>
      </c>
      <c r="B59" s="409"/>
      <c r="C59" s="409">
        <f t="shared" si="0"/>
        <v>0</v>
      </c>
      <c r="D59" s="409">
        <f t="shared" si="1"/>
        <v>0</v>
      </c>
      <c r="E59" s="409">
        <f t="shared" si="2"/>
        <v>0</v>
      </c>
      <c r="F59" s="409">
        <f t="shared" si="3"/>
        <v>0</v>
      </c>
    </row>
    <row r="60" spans="1:6">
      <c r="A60" s="216">
        <f>1+A59</f>
        <v>42</v>
      </c>
      <c r="B60" s="409"/>
      <c r="C60" s="409">
        <f t="shared" si="0"/>
        <v>0</v>
      </c>
      <c r="D60" s="409">
        <f t="shared" si="1"/>
        <v>0</v>
      </c>
      <c r="E60" s="409">
        <f t="shared" si="2"/>
        <v>0</v>
      </c>
      <c r="F60" s="409">
        <f t="shared" si="3"/>
        <v>0</v>
      </c>
    </row>
    <row r="61" spans="1:6">
      <c r="A61" s="216">
        <f t="shared" si="7"/>
        <v>43</v>
      </c>
      <c r="B61" s="409"/>
      <c r="C61" s="409">
        <f t="shared" si="0"/>
        <v>0</v>
      </c>
      <c r="D61" s="409">
        <f t="shared" si="1"/>
        <v>0</v>
      </c>
      <c r="E61" s="409">
        <f t="shared" si="2"/>
        <v>0</v>
      </c>
      <c r="F61" s="409">
        <f t="shared" si="3"/>
        <v>0</v>
      </c>
    </row>
    <row r="62" spans="1:6">
      <c r="A62" s="216">
        <f t="shared" si="7"/>
        <v>44</v>
      </c>
      <c r="B62" s="409"/>
      <c r="C62" s="409">
        <f t="shared" si="0"/>
        <v>0</v>
      </c>
      <c r="D62" s="409">
        <f t="shared" si="1"/>
        <v>0</v>
      </c>
      <c r="E62" s="409">
        <f t="shared" si="2"/>
        <v>0</v>
      </c>
      <c r="F62" s="409">
        <f t="shared" si="3"/>
        <v>0</v>
      </c>
    </row>
    <row r="63" spans="1:6">
      <c r="A63" s="216">
        <f t="shared" si="7"/>
        <v>45</v>
      </c>
      <c r="B63" s="409"/>
      <c r="C63" s="409">
        <f t="shared" si="0"/>
        <v>0</v>
      </c>
      <c r="D63" s="409">
        <f t="shared" si="1"/>
        <v>0</v>
      </c>
      <c r="E63" s="409">
        <f t="shared" si="2"/>
        <v>0</v>
      </c>
      <c r="F63" s="409">
        <f t="shared" si="3"/>
        <v>0</v>
      </c>
    </row>
    <row r="64" spans="1:6">
      <c r="A64" s="216">
        <f t="shared" si="7"/>
        <v>46</v>
      </c>
      <c r="B64" s="409"/>
      <c r="C64" s="409">
        <f t="shared" si="0"/>
        <v>0</v>
      </c>
      <c r="D64" s="409">
        <f t="shared" si="1"/>
        <v>0</v>
      </c>
      <c r="E64" s="409">
        <f t="shared" si="2"/>
        <v>0</v>
      </c>
      <c r="F64" s="409">
        <f t="shared" si="3"/>
        <v>0</v>
      </c>
    </row>
    <row r="65" spans="1:6">
      <c r="A65" s="216">
        <f>1+A64</f>
        <v>47</v>
      </c>
      <c r="B65" s="409"/>
      <c r="C65" s="409">
        <f t="shared" si="0"/>
        <v>0</v>
      </c>
      <c r="D65" s="409">
        <f t="shared" si="1"/>
        <v>0</v>
      </c>
      <c r="E65" s="409">
        <f t="shared" si="2"/>
        <v>0</v>
      </c>
      <c r="F65" s="409">
        <f t="shared" si="3"/>
        <v>0</v>
      </c>
    </row>
    <row r="66" spans="1:6">
      <c r="A66" s="216">
        <f t="shared" si="7"/>
        <v>48</v>
      </c>
      <c r="B66" s="409"/>
      <c r="C66" s="409">
        <f t="shared" si="0"/>
        <v>0</v>
      </c>
      <c r="D66" s="409">
        <f t="shared" si="1"/>
        <v>0</v>
      </c>
      <c r="E66" s="409">
        <f t="shared" si="2"/>
        <v>0</v>
      </c>
      <c r="F66" s="409">
        <f t="shared" si="3"/>
        <v>0</v>
      </c>
    </row>
    <row r="67" spans="1:6">
      <c r="A67" s="216">
        <f t="shared" si="7"/>
        <v>49</v>
      </c>
      <c r="C67" s="409">
        <f t="shared" si="0"/>
        <v>0</v>
      </c>
      <c r="D67" s="409">
        <f t="shared" si="1"/>
        <v>0</v>
      </c>
      <c r="E67" s="409">
        <f t="shared" si="2"/>
        <v>0</v>
      </c>
      <c r="F67" s="409">
        <f t="shared" si="3"/>
        <v>0</v>
      </c>
    </row>
    <row r="68" spans="1:6">
      <c r="A68" s="216">
        <f t="shared" si="7"/>
        <v>50</v>
      </c>
      <c r="C68" s="409">
        <f t="shared" si="0"/>
        <v>0</v>
      </c>
      <c r="D68" s="409">
        <f t="shared" si="1"/>
        <v>0</v>
      </c>
      <c r="E68" s="409">
        <f t="shared" si="2"/>
        <v>0</v>
      </c>
      <c r="F68" s="409">
        <f t="shared" si="3"/>
        <v>0</v>
      </c>
    </row>
    <row r="69" spans="1:6">
      <c r="A69" s="216">
        <f t="shared" si="7"/>
        <v>51</v>
      </c>
      <c r="C69" s="409">
        <f t="shared" si="0"/>
        <v>0</v>
      </c>
      <c r="D69" s="409">
        <f t="shared" si="1"/>
        <v>0</v>
      </c>
      <c r="E69" s="409">
        <f t="shared" si="2"/>
        <v>0</v>
      </c>
      <c r="F69" s="409">
        <f t="shared" si="3"/>
        <v>0</v>
      </c>
    </row>
    <row r="70" spans="1:6">
      <c r="A70" s="216">
        <f t="shared" si="7"/>
        <v>52</v>
      </c>
      <c r="C70" s="409">
        <f t="shared" si="0"/>
        <v>0</v>
      </c>
      <c r="D70" s="409">
        <f t="shared" si="1"/>
        <v>0</v>
      </c>
      <c r="E70" s="409">
        <f t="shared" si="2"/>
        <v>0</v>
      </c>
      <c r="F70" s="409">
        <f t="shared" si="3"/>
        <v>0</v>
      </c>
    </row>
    <row r="71" spans="1:6">
      <c r="A71" s="216">
        <f t="shared" si="7"/>
        <v>53</v>
      </c>
      <c r="C71" s="409">
        <f t="shared" si="0"/>
        <v>0</v>
      </c>
      <c r="D71" s="409">
        <f t="shared" si="1"/>
        <v>0</v>
      </c>
      <c r="E71" s="409">
        <f t="shared" si="2"/>
        <v>0</v>
      </c>
      <c r="F71" s="409">
        <f t="shared" si="3"/>
        <v>0</v>
      </c>
    </row>
    <row r="72" spans="1:6">
      <c r="A72" s="216">
        <f t="shared" si="7"/>
        <v>54</v>
      </c>
      <c r="C72" s="409">
        <f t="shared" si="0"/>
        <v>0</v>
      </c>
      <c r="D72" s="409">
        <f t="shared" si="1"/>
        <v>0</v>
      </c>
      <c r="E72" s="409">
        <f t="shared" si="2"/>
        <v>0</v>
      </c>
      <c r="F72" s="409">
        <f t="shared" si="3"/>
        <v>0</v>
      </c>
    </row>
    <row r="73" spans="1:6">
      <c r="A73" s="216">
        <f t="shared" si="7"/>
        <v>55</v>
      </c>
      <c r="C73" s="409">
        <f t="shared" si="0"/>
        <v>0</v>
      </c>
      <c r="D73" s="409">
        <f t="shared" si="1"/>
        <v>0</v>
      </c>
      <c r="E73" s="409">
        <f t="shared" si="2"/>
        <v>0</v>
      </c>
      <c r="F73" s="409">
        <f t="shared" si="3"/>
        <v>0</v>
      </c>
    </row>
    <row r="74" spans="1:6">
      <c r="A74" s="216">
        <f t="shared" si="7"/>
        <v>56</v>
      </c>
      <c r="C74" s="409">
        <f t="shared" si="0"/>
        <v>0</v>
      </c>
      <c r="D74" s="409">
        <f t="shared" si="1"/>
        <v>0</v>
      </c>
      <c r="E74" s="409">
        <f t="shared" si="2"/>
        <v>0</v>
      </c>
      <c r="F74" s="409">
        <f t="shared" si="3"/>
        <v>0</v>
      </c>
    </row>
    <row r="75" spans="1:6">
      <c r="A75" s="216">
        <f t="shared" si="7"/>
        <v>57</v>
      </c>
      <c r="C75" s="409">
        <f t="shared" si="0"/>
        <v>0</v>
      </c>
      <c r="D75" s="409">
        <f t="shared" si="1"/>
        <v>0</v>
      </c>
      <c r="E75" s="409">
        <f t="shared" si="2"/>
        <v>0</v>
      </c>
      <c r="F75" s="409">
        <f t="shared" si="3"/>
        <v>0</v>
      </c>
    </row>
    <row r="76" spans="1:6">
      <c r="A76" s="216">
        <f t="shared" si="7"/>
        <v>58</v>
      </c>
      <c r="C76" s="409">
        <f t="shared" si="0"/>
        <v>0</v>
      </c>
      <c r="D76" s="409">
        <f t="shared" si="1"/>
        <v>0</v>
      </c>
      <c r="E76" s="409">
        <f t="shared" si="2"/>
        <v>0</v>
      </c>
      <c r="F76" s="409">
        <f t="shared" si="3"/>
        <v>0</v>
      </c>
    </row>
    <row r="77" spans="1:6">
      <c r="A77" s="216">
        <f t="shared" si="7"/>
        <v>59</v>
      </c>
      <c r="C77" s="409">
        <f t="shared" si="0"/>
        <v>0</v>
      </c>
      <c r="D77" s="409">
        <f t="shared" si="1"/>
        <v>0</v>
      </c>
      <c r="E77" s="409">
        <f t="shared" si="2"/>
        <v>0</v>
      </c>
      <c r="F77" s="409">
        <f t="shared" si="3"/>
        <v>0</v>
      </c>
    </row>
    <row r="78" spans="1:6">
      <c r="A78" s="216">
        <f t="shared" si="7"/>
        <v>60</v>
      </c>
      <c r="C78" s="409">
        <f t="shared" si="0"/>
        <v>0</v>
      </c>
      <c r="D78" s="409">
        <f t="shared" si="1"/>
        <v>0</v>
      </c>
      <c r="E78" s="409">
        <f t="shared" si="2"/>
        <v>0</v>
      </c>
      <c r="F78" s="409">
        <f t="shared" si="3"/>
        <v>0</v>
      </c>
    </row>
  </sheetData>
  <mergeCells count="5">
    <mergeCell ref="A1:H1"/>
    <mergeCell ref="A2:B2"/>
    <mergeCell ref="I12:I14"/>
    <mergeCell ref="C2:D2"/>
    <mergeCell ref="C8:C9"/>
  </mergeCells>
  <pageMargins left="0.7" right="0.7" top="0.75" bottom="0.75" header="0.3" footer="0.3"/>
  <pageSetup paperSize="9" orientation="portrait" r:id="rId1"/>
  <legacyDrawing r:id="rId2"/>
</worksheet>
</file>

<file path=xl/worksheets/sheet22.xml><?xml version="1.0" encoding="utf-8"?>
<worksheet xmlns="http://schemas.openxmlformats.org/spreadsheetml/2006/main" xmlns:r="http://schemas.openxmlformats.org/officeDocument/2006/relationships">
  <sheetPr>
    <tabColor rgb="FFFFFF99"/>
  </sheetPr>
  <dimension ref="B2:O41"/>
  <sheetViews>
    <sheetView topLeftCell="A10" workbookViewId="0">
      <selection activeCell="I26" sqref="I26:I28"/>
    </sheetView>
  </sheetViews>
  <sheetFormatPr baseColWidth="10" defaultRowHeight="15"/>
  <cols>
    <col min="1" max="1" width="3" customWidth="1"/>
    <col min="2" max="2" width="42.5703125" bestFit="1" customWidth="1"/>
    <col min="3" max="3" width="42.5703125" style="216" customWidth="1"/>
    <col min="4" max="12" width="11" customWidth="1"/>
    <col min="13" max="13" width="16.7109375" customWidth="1"/>
    <col min="14" max="15" width="59.28515625" customWidth="1"/>
  </cols>
  <sheetData>
    <row r="2" spans="2:15" ht="15.75" thickBot="1">
      <c r="B2" s="217" t="s">
        <v>278</v>
      </c>
      <c r="C2" s="217"/>
      <c r="D2" s="220">
        <v>2744088.22</v>
      </c>
      <c r="E2" s="220">
        <v>2252306.2200000007</v>
      </c>
      <c r="F2" s="220">
        <v>2549862.5999999996</v>
      </c>
      <c r="G2" s="220">
        <v>3584290.5199999996</v>
      </c>
      <c r="H2" s="220">
        <v>2705231.5699999994</v>
      </c>
      <c r="I2" s="220">
        <v>2791397.26</v>
      </c>
      <c r="J2" s="220">
        <v>2693075.47</v>
      </c>
      <c r="K2" s="220">
        <v>2560036.1599999997</v>
      </c>
      <c r="L2" s="220">
        <v>21880288.019999992</v>
      </c>
      <c r="M2" s="217"/>
      <c r="N2" s="220"/>
      <c r="O2" s="220"/>
    </row>
    <row r="3" spans="2:15" ht="15.75" thickBot="1">
      <c r="B3" s="236" t="s">
        <v>279</v>
      </c>
      <c r="C3" s="236" t="s">
        <v>279</v>
      </c>
      <c r="D3" s="237">
        <v>1</v>
      </c>
      <c r="E3" s="237">
        <v>2</v>
      </c>
      <c r="F3" s="237">
        <v>3</v>
      </c>
      <c r="G3" s="237">
        <v>4</v>
      </c>
      <c r="H3" s="237">
        <v>5</v>
      </c>
      <c r="I3" s="237">
        <v>6</v>
      </c>
      <c r="J3" s="237">
        <v>7</v>
      </c>
      <c r="K3" s="237">
        <v>8</v>
      </c>
      <c r="L3" s="238" t="s">
        <v>280</v>
      </c>
      <c r="M3" s="216"/>
      <c r="N3" s="221" t="s">
        <v>117</v>
      </c>
      <c r="O3" s="221" t="s">
        <v>117</v>
      </c>
    </row>
    <row r="4" spans="2:15" ht="15.75" thickBot="1">
      <c r="B4" s="239" t="s">
        <v>59</v>
      </c>
      <c r="C4" s="239" t="s">
        <v>59</v>
      </c>
      <c r="D4" s="240">
        <v>70060.009999999995</v>
      </c>
      <c r="E4" s="240">
        <v>285.43000000000006</v>
      </c>
      <c r="F4" s="240">
        <v>122.34</v>
      </c>
      <c r="G4" s="240">
        <v>0</v>
      </c>
      <c r="H4" s="240">
        <v>0</v>
      </c>
      <c r="I4" s="240">
        <v>0</v>
      </c>
      <c r="J4" s="240">
        <v>0</v>
      </c>
      <c r="K4" s="240">
        <v>0</v>
      </c>
      <c r="L4" s="241">
        <v>70467.779999999984</v>
      </c>
      <c r="M4" s="216" t="str">
        <f>VLOOKUP(B4,'Info Pasajeros e Ingresos P20'!B:C,2,FALSE)</f>
        <v>BONO FACIL</v>
      </c>
      <c r="N4" s="225" t="s">
        <v>281</v>
      </c>
      <c r="O4" s="225" t="s">
        <v>282</v>
      </c>
    </row>
    <row r="5" spans="2:15" ht="15.75" thickBot="1">
      <c r="B5" s="239" t="s">
        <v>62</v>
      </c>
      <c r="C5" s="239" t="s">
        <v>62</v>
      </c>
      <c r="D5" s="240">
        <v>20493.72</v>
      </c>
      <c r="E5" s="240">
        <v>23456.35</v>
      </c>
      <c r="F5" s="240">
        <v>20847.060000000001</v>
      </c>
      <c r="G5" s="240">
        <v>18020.34</v>
      </c>
      <c r="H5" s="240">
        <v>16851.599999999999</v>
      </c>
      <c r="I5" s="240">
        <v>11334.06</v>
      </c>
      <c r="J5" s="259">
        <v>3750.84</v>
      </c>
      <c r="K5" s="259">
        <v>2419.02</v>
      </c>
      <c r="L5" s="241">
        <v>117172.99</v>
      </c>
      <c r="M5" s="216" t="str">
        <f>VLOOKUP(B5,'Info Pasajeros e Ingresos P20'!B:C,2,FALSE)</f>
        <v>BONO ESTUDIANTE</v>
      </c>
      <c r="N5" s="226" t="s">
        <v>283</v>
      </c>
      <c r="O5" s="226" t="s">
        <v>282</v>
      </c>
    </row>
    <row r="6" spans="2:15" ht="15.75" thickBot="1">
      <c r="B6" s="252" t="s">
        <v>78</v>
      </c>
      <c r="C6" s="252" t="s">
        <v>78</v>
      </c>
      <c r="D6" s="253">
        <v>733.86</v>
      </c>
      <c r="E6" s="253">
        <v>761.04</v>
      </c>
      <c r="F6" s="253">
        <v>570.78</v>
      </c>
      <c r="G6" s="253">
        <v>462.06</v>
      </c>
      <c r="H6" s="253">
        <v>407.7</v>
      </c>
      <c r="I6" s="253">
        <v>271.8</v>
      </c>
      <c r="J6" s="260">
        <v>0</v>
      </c>
      <c r="K6" s="260">
        <v>27.18</v>
      </c>
      <c r="L6" s="254">
        <v>3234.42</v>
      </c>
      <c r="M6" s="216" t="str">
        <f>VLOOKUP(B6,'Info Pasajeros e Ingresos P20'!B:C,2,FALSE)</f>
        <v>BONO ESTUDIANTE GM-GLOBAL (BONO ESTUDIANTE COMPARTIDO)</v>
      </c>
      <c r="N6" s="227" t="s">
        <v>284</v>
      </c>
      <c r="O6" s="227" t="s">
        <v>284</v>
      </c>
    </row>
    <row r="7" spans="2:15" ht="15.75" thickBot="1">
      <c r="B7" s="247" t="s">
        <v>82</v>
      </c>
      <c r="C7" s="247" t="s">
        <v>82</v>
      </c>
      <c r="D7" s="248">
        <v>3000.39</v>
      </c>
      <c r="E7" s="248">
        <v>3097.4900000000002</v>
      </c>
      <c r="F7" s="248">
        <v>3087.7799999999997</v>
      </c>
      <c r="G7" s="248">
        <v>3126.62</v>
      </c>
      <c r="H7" s="248">
        <v>3194.59</v>
      </c>
      <c r="I7" s="248">
        <v>3204.2999999999997</v>
      </c>
      <c r="J7" s="248">
        <v>2980.97</v>
      </c>
      <c r="K7" s="248">
        <v>2747.93</v>
      </c>
      <c r="L7" s="249">
        <v>24440.07</v>
      </c>
      <c r="M7" s="216" t="str">
        <f>VLOOKUP(B7,'Info Pasajeros e Ingresos P20'!B:C,2,FALSE)</f>
        <v>BONO SOLIDARIO GM-GLOBAL (BONO SOLIDARIO COMPARTIDO)</v>
      </c>
      <c r="N7" s="228" t="s">
        <v>284</v>
      </c>
      <c r="O7" s="228" t="s">
        <v>284</v>
      </c>
    </row>
    <row r="8" spans="2:15" ht="15.75" thickBot="1">
      <c r="B8" s="242" t="s">
        <v>65</v>
      </c>
      <c r="C8" s="242" t="s">
        <v>65</v>
      </c>
      <c r="D8" s="243">
        <v>1030022.57</v>
      </c>
      <c r="E8" s="243">
        <v>985947.18</v>
      </c>
      <c r="F8" s="243">
        <v>990291.26</v>
      </c>
      <c r="G8" s="243">
        <v>948728.74</v>
      </c>
      <c r="H8" s="243">
        <v>989499.03</v>
      </c>
      <c r="I8" s="243">
        <v>928857.72</v>
      </c>
      <c r="J8" s="258">
        <v>968407.48</v>
      </c>
      <c r="K8" s="243">
        <v>812143.64</v>
      </c>
      <c r="L8" s="244">
        <v>7653897.6200000001</v>
      </c>
      <c r="M8" s="216" t="str">
        <f>VLOOKUP(B8,'Info Pasajeros e Ingresos P20'!B:C,2,FALSE)</f>
        <v>LPA MOVILIDAD (BONO GUAGUA SIN CONTACTO)</v>
      </c>
      <c r="N8" s="222" t="s">
        <v>285</v>
      </c>
      <c r="O8" s="222" t="s">
        <v>286</v>
      </c>
    </row>
    <row r="9" spans="2:15" ht="15.75" thickBot="1">
      <c r="B9" s="315" t="s">
        <v>65</v>
      </c>
      <c r="C9" s="245" t="s">
        <v>287</v>
      </c>
      <c r="D9" s="235">
        <v>-0.97000000000002728</v>
      </c>
      <c r="E9" s="235">
        <v>7.0900000000001455</v>
      </c>
      <c r="F9" s="235">
        <v>6.6500000000000909</v>
      </c>
      <c r="G9" s="235">
        <v>0</v>
      </c>
      <c r="H9" s="235">
        <v>0</v>
      </c>
      <c r="I9" s="235">
        <v>-26.940000000000282</v>
      </c>
      <c r="J9" s="235">
        <v>0</v>
      </c>
      <c r="K9" s="235">
        <v>0.63000000000101863</v>
      </c>
      <c r="L9" s="246">
        <v>-13.539999999999054</v>
      </c>
      <c r="M9" s="216" t="str">
        <f>VLOOKUP(B9,'Info Pasajeros e Ingresos P20'!B:C,2,FALSE)</f>
        <v>LPA MOVILIDAD (BONO GUAGUA SIN CONTACTO)</v>
      </c>
      <c r="N9" s="219"/>
      <c r="O9" s="219"/>
    </row>
    <row r="10" spans="2:15" ht="15.75" thickBot="1">
      <c r="B10" s="250" t="s">
        <v>70</v>
      </c>
      <c r="C10" s="250" t="s">
        <v>70</v>
      </c>
      <c r="D10" s="234">
        <v>2510.6799999999998</v>
      </c>
      <c r="E10" s="234">
        <v>1895.53</v>
      </c>
      <c r="F10" s="234">
        <v>2446.6</v>
      </c>
      <c r="G10" s="234">
        <v>2864.85</v>
      </c>
      <c r="H10" s="234">
        <v>2406.9899999999998</v>
      </c>
      <c r="I10" s="234">
        <v>1637.28</v>
      </c>
      <c r="J10" s="234">
        <v>2362.7199999999998</v>
      </c>
      <c r="K10" s="234">
        <v>1530.87</v>
      </c>
      <c r="L10" s="251">
        <v>17655.52</v>
      </c>
      <c r="M10" s="216" t="str">
        <f>VLOOKUP(B10,'Info Pasajeros e Ingresos P20'!B:C,2,FALSE)</f>
        <v>BONO 2 VIAJES</v>
      </c>
      <c r="N10" s="229" t="s">
        <v>288</v>
      </c>
      <c r="O10" s="229" t="s">
        <v>289</v>
      </c>
    </row>
    <row r="11" spans="2:15" ht="15.75" thickBot="1">
      <c r="B11" s="314" t="s">
        <v>326</v>
      </c>
      <c r="C11" s="250" t="s">
        <v>304</v>
      </c>
      <c r="D11" s="234">
        <v>0</v>
      </c>
      <c r="E11" s="234">
        <v>0</v>
      </c>
      <c r="F11" s="234">
        <v>0</v>
      </c>
      <c r="G11" s="234">
        <v>0</v>
      </c>
      <c r="H11" s="234">
        <v>0</v>
      </c>
      <c r="I11" s="261">
        <v>-20683.990000000002</v>
      </c>
      <c r="J11" s="234"/>
      <c r="K11" s="234">
        <v>0</v>
      </c>
      <c r="L11" s="265">
        <v>-20683.990000000002</v>
      </c>
      <c r="M11" s="215" t="str">
        <f>VLOOKUP(B11,'Info Pasajeros e Ingresos P20'!B:C,2,FALSE)</f>
        <v>OTROS INGRESOS</v>
      </c>
      <c r="N11" s="230"/>
      <c r="O11" s="230"/>
    </row>
    <row r="12" spans="2:15">
      <c r="B12" s="316" t="s">
        <v>70</v>
      </c>
      <c r="C12" s="250" t="s">
        <v>290</v>
      </c>
      <c r="D12" s="234">
        <v>2330.1</v>
      </c>
      <c r="E12" s="234">
        <v>0</v>
      </c>
      <c r="F12" s="234">
        <v>0</v>
      </c>
      <c r="G12" s="234">
        <v>466.02</v>
      </c>
      <c r="H12" s="234">
        <v>0</v>
      </c>
      <c r="I12" s="234">
        <v>0</v>
      </c>
      <c r="J12" s="234">
        <v>0</v>
      </c>
      <c r="K12" s="234">
        <v>0</v>
      </c>
      <c r="L12" s="251">
        <v>2796.12</v>
      </c>
      <c r="M12" s="216" t="str">
        <f>VLOOKUP(B12,'Info Pasajeros e Ingresos P20'!B:C,2,FALSE)</f>
        <v>BONO 2 VIAJES</v>
      </c>
      <c r="N12" s="230"/>
      <c r="O12" s="230"/>
    </row>
    <row r="13" spans="2:15" ht="15.75" thickBot="1">
      <c r="B13" s="316" t="s">
        <v>70</v>
      </c>
      <c r="C13" s="250" t="s">
        <v>291</v>
      </c>
      <c r="D13" s="234">
        <v>0</v>
      </c>
      <c r="E13" s="234">
        <v>0</v>
      </c>
      <c r="F13" s="234">
        <v>3710.68</v>
      </c>
      <c r="G13" s="234">
        <v>0</v>
      </c>
      <c r="H13" s="234">
        <v>0</v>
      </c>
      <c r="I13" s="234">
        <v>3904.85</v>
      </c>
      <c r="J13" s="234">
        <v>0</v>
      </c>
      <c r="K13" s="234">
        <v>0</v>
      </c>
      <c r="L13" s="251">
        <v>7615.53</v>
      </c>
      <c r="M13" s="216" t="str">
        <f>VLOOKUP(B13,'Info Pasajeros e Ingresos P20'!B:C,2,FALSE)</f>
        <v>BONO 2 VIAJES</v>
      </c>
      <c r="N13" s="227"/>
      <c r="O13" s="227"/>
    </row>
    <row r="14" spans="2:15" ht="15.75" thickBot="1">
      <c r="B14" s="316" t="s">
        <v>70</v>
      </c>
      <c r="C14" s="245" t="s">
        <v>292</v>
      </c>
      <c r="D14" s="235">
        <v>475.32000000000028</v>
      </c>
      <c r="E14" s="235">
        <v>330.86000000000024</v>
      </c>
      <c r="F14" s="235">
        <v>761.92000000000235</v>
      </c>
      <c r="G14" s="235">
        <v>477.64999999999986</v>
      </c>
      <c r="H14" s="235">
        <v>428.7199999999998</v>
      </c>
      <c r="I14" s="235">
        <v>375.13000000000028</v>
      </c>
      <c r="J14" s="235">
        <v>531.24000000000035</v>
      </c>
      <c r="K14" s="235">
        <v>486.97</v>
      </c>
      <c r="L14" s="246">
        <v>3867.8100000000031</v>
      </c>
      <c r="M14" s="216" t="str">
        <f>VLOOKUP(B14,'Info Pasajeros e Ingresos P20'!B:C,2,FALSE)</f>
        <v>BONO 2 VIAJES</v>
      </c>
      <c r="N14" s="222" t="s">
        <v>293</v>
      </c>
      <c r="O14" s="222" t="s">
        <v>294</v>
      </c>
    </row>
    <row r="15" spans="2:15" ht="15.75" thickBot="1">
      <c r="B15" s="242" t="s">
        <v>75</v>
      </c>
      <c r="C15" s="242" t="s">
        <v>75</v>
      </c>
      <c r="D15" s="243">
        <v>0</v>
      </c>
      <c r="E15" s="243">
        <v>0</v>
      </c>
      <c r="F15" s="243">
        <v>0</v>
      </c>
      <c r="G15" s="243">
        <v>0</v>
      </c>
      <c r="H15" s="243">
        <v>108.72</v>
      </c>
      <c r="I15" s="243">
        <v>163.08000000000001</v>
      </c>
      <c r="J15" s="243">
        <v>625.13999999999987</v>
      </c>
      <c r="K15" s="243">
        <v>815.39999999999952</v>
      </c>
      <c r="L15" s="244">
        <v>1712.3399999999992</v>
      </c>
      <c r="M15" s="216" t="str">
        <f>VLOOKUP(B15,'Info Pasajeros e Ingresos P20'!B:C,2,FALSE)</f>
        <v xml:space="preserve"> BONO ORO</v>
      </c>
      <c r="N15" s="227"/>
      <c r="O15" s="227"/>
    </row>
    <row r="16" spans="2:15" ht="15.75" thickBot="1">
      <c r="B16" s="317" t="s">
        <v>75</v>
      </c>
      <c r="C16" s="245" t="s">
        <v>295</v>
      </c>
      <c r="D16" s="235">
        <v>0</v>
      </c>
      <c r="E16" s="235">
        <v>0</v>
      </c>
      <c r="F16" s="235">
        <v>0</v>
      </c>
      <c r="G16" s="235">
        <v>0</v>
      </c>
      <c r="H16" s="235">
        <v>286.27999999999997</v>
      </c>
      <c r="I16" s="235">
        <v>0</v>
      </c>
      <c r="J16" s="235">
        <v>1706.13</v>
      </c>
      <c r="K16" s="235">
        <v>1052.58</v>
      </c>
      <c r="L16" s="246">
        <v>3044.99</v>
      </c>
      <c r="M16" s="216" t="str">
        <f>VLOOKUP(B16,'Info Pasajeros e Ingresos P20'!B:C,2,FALSE)</f>
        <v xml:space="preserve"> BONO ORO</v>
      </c>
      <c r="N16" s="222"/>
      <c r="O16" s="222" t="s">
        <v>296</v>
      </c>
    </row>
    <row r="17" spans="2:15" ht="15.75" thickBot="1">
      <c r="B17" s="242" t="s">
        <v>77</v>
      </c>
      <c r="C17" s="242" t="s">
        <v>77</v>
      </c>
      <c r="D17" s="243">
        <v>114765.2</v>
      </c>
      <c r="E17" s="243">
        <v>83173.919999999998</v>
      </c>
      <c r="F17" s="243">
        <v>193675.91</v>
      </c>
      <c r="G17" s="243">
        <v>201096.07</v>
      </c>
      <c r="H17" s="243">
        <v>292891.36</v>
      </c>
      <c r="I17" s="255">
        <v>111352.47</v>
      </c>
      <c r="J17" s="243">
        <v>0</v>
      </c>
      <c r="K17" s="243">
        <v>558604.74</v>
      </c>
      <c r="L17" s="244">
        <v>1555559.67</v>
      </c>
      <c r="M17" s="216" t="str">
        <f>VLOOKUP(B17,'Info Pasajeros e Ingresos P20'!B:C,2,FALSE)</f>
        <v>BONO RESIDENTE CANARIO</v>
      </c>
      <c r="N17" s="219"/>
      <c r="O17" s="231" t="s">
        <v>298</v>
      </c>
    </row>
    <row r="18" spans="2:15" ht="15.75" thickBot="1">
      <c r="B18" s="314" t="s">
        <v>326</v>
      </c>
      <c r="C18" s="245" t="s">
        <v>297</v>
      </c>
      <c r="D18" s="235">
        <v>0</v>
      </c>
      <c r="E18" s="235">
        <v>0</v>
      </c>
      <c r="F18" s="235">
        <v>0</v>
      </c>
      <c r="G18" s="235">
        <v>0</v>
      </c>
      <c r="H18" s="235">
        <v>0</v>
      </c>
      <c r="I18" s="235">
        <v>-82442.61</v>
      </c>
      <c r="J18" s="235">
        <v>0</v>
      </c>
      <c r="K18" s="235">
        <v>0</v>
      </c>
      <c r="L18" s="264">
        <v>-82442.61</v>
      </c>
      <c r="M18" s="215" t="str">
        <f>VLOOKUP(B18,'Info Pasajeros e Ingresos P20'!B:C,2,FALSE)</f>
        <v>OTROS INGRESOS</v>
      </c>
      <c r="N18" s="222"/>
      <c r="O18" s="222" t="s">
        <v>296</v>
      </c>
    </row>
    <row r="19" spans="2:15" ht="15.75" thickBot="1">
      <c r="B19" s="242" t="s">
        <v>76</v>
      </c>
      <c r="C19" s="242" t="s">
        <v>76</v>
      </c>
      <c r="D19" s="243">
        <v>185572</v>
      </c>
      <c r="E19" s="243">
        <v>75805.02</v>
      </c>
      <c r="F19" s="243">
        <v>208375.18</v>
      </c>
      <c r="G19" s="243">
        <v>211690.12</v>
      </c>
      <c r="H19" s="243">
        <v>325698.25</v>
      </c>
      <c r="I19" s="255">
        <v>82627.19</v>
      </c>
      <c r="J19" s="258">
        <v>290001.65999999997</v>
      </c>
      <c r="K19" s="243">
        <v>172534.74</v>
      </c>
      <c r="L19" s="244">
        <v>1552304.16</v>
      </c>
      <c r="M19" s="216" t="str">
        <f>VLOOKUP(B19,'Info Pasajeros e Ingresos P20'!B:C,2,FALSE)</f>
        <v xml:space="preserve"> BONO GRAN CANARIA-WAWA JOVEN (TARJETA WAWA JOVEN)</v>
      </c>
      <c r="N19" s="219"/>
      <c r="O19" s="231" t="s">
        <v>298</v>
      </c>
    </row>
    <row r="20" spans="2:15" ht="15.75" thickBot="1">
      <c r="B20" s="314" t="s">
        <v>326</v>
      </c>
      <c r="C20" s="245" t="s">
        <v>299</v>
      </c>
      <c r="D20" s="235">
        <v>0</v>
      </c>
      <c r="E20" s="235">
        <v>0</v>
      </c>
      <c r="F20" s="235">
        <v>0</v>
      </c>
      <c r="G20" s="235">
        <v>0</v>
      </c>
      <c r="H20" s="235">
        <v>0</v>
      </c>
      <c r="I20" s="262">
        <v>-730718.6</v>
      </c>
      <c r="J20" s="235">
        <v>0</v>
      </c>
      <c r="K20" s="235">
        <v>0</v>
      </c>
      <c r="L20" s="264">
        <v>-730718.6</v>
      </c>
      <c r="M20" s="215" t="str">
        <f>VLOOKUP(B20,'Info Pasajeros e Ingresos P20'!B:C,2,FALSE)</f>
        <v>OTROS INGRESOS</v>
      </c>
      <c r="N20" s="233"/>
      <c r="O20" s="233"/>
    </row>
    <row r="21" spans="2:15" ht="15.75" thickBot="1">
      <c r="B21" s="242" t="s">
        <v>68</v>
      </c>
      <c r="C21" s="242" t="s">
        <v>68</v>
      </c>
      <c r="D21" s="243">
        <v>3042.97</v>
      </c>
      <c r="E21" s="243">
        <v>3233.84</v>
      </c>
      <c r="F21" s="243">
        <v>3098.53</v>
      </c>
      <c r="G21" s="243">
        <v>2872.96</v>
      </c>
      <c r="H21" s="243">
        <v>2977.9</v>
      </c>
      <c r="I21" s="255">
        <v>10002.77</v>
      </c>
      <c r="J21" s="258">
        <v>2285.0700000000002</v>
      </c>
      <c r="K21" s="243">
        <v>1886.59</v>
      </c>
      <c r="L21" s="244">
        <v>29400.63</v>
      </c>
      <c r="M21" s="216" t="str">
        <f>VLOOKUP(B21,'Info Pasajeros e Ingresos P20'!B:C,2,FALSE)</f>
        <v>FAMILIA NUMEROSA ESPECIAL</v>
      </c>
      <c r="N21" s="233"/>
      <c r="O21" s="233"/>
    </row>
    <row r="22" spans="2:15" ht="15.75" thickBot="1">
      <c r="B22" s="314" t="s">
        <v>326</v>
      </c>
      <c r="C22" s="245" t="s">
        <v>305</v>
      </c>
      <c r="D22" s="235">
        <v>0</v>
      </c>
      <c r="E22" s="235">
        <v>0</v>
      </c>
      <c r="F22" s="235">
        <v>0</v>
      </c>
      <c r="G22" s="235">
        <v>0</v>
      </c>
      <c r="H22" s="235">
        <v>0</v>
      </c>
      <c r="I22" s="262">
        <v>-37538.86</v>
      </c>
      <c r="J22" s="235"/>
      <c r="K22" s="235">
        <v>0</v>
      </c>
      <c r="L22" s="264">
        <v>-37538.86</v>
      </c>
      <c r="M22" s="215" t="str">
        <f>VLOOKUP(B22,'Info Pasajeros e Ingresos P20'!B:C,2,FALSE)</f>
        <v>OTROS INGRESOS</v>
      </c>
      <c r="N22" s="224"/>
      <c r="O22" s="224"/>
    </row>
    <row r="23" spans="2:15" ht="15.75" thickBot="1">
      <c r="B23" s="242" t="s">
        <v>69</v>
      </c>
      <c r="C23" s="242" t="s">
        <v>69</v>
      </c>
      <c r="D23" s="243">
        <v>15792.07</v>
      </c>
      <c r="E23" s="243">
        <v>16982.53</v>
      </c>
      <c r="F23" s="243">
        <v>15911.54</v>
      </c>
      <c r="G23" s="243">
        <v>14864.47</v>
      </c>
      <c r="H23" s="243">
        <v>15419.09</v>
      </c>
      <c r="I23" s="255">
        <v>38540.49</v>
      </c>
      <c r="J23" s="258">
        <v>10757.01</v>
      </c>
      <c r="K23" s="243">
        <v>8181.5</v>
      </c>
      <c r="L23" s="244">
        <v>136448.70000000001</v>
      </c>
      <c r="M23" s="216" t="str">
        <f>VLOOKUP(B23,'Info Pasajeros e Ingresos P20'!B:C,2,FALSE)</f>
        <v>FAMILIA NUMEROSA GENERAL</v>
      </c>
      <c r="N23" s="222"/>
      <c r="O23" s="222"/>
    </row>
    <row r="24" spans="2:15" ht="15.75" thickBot="1">
      <c r="B24" s="314" t="s">
        <v>326</v>
      </c>
      <c r="C24" s="245" t="s">
        <v>306</v>
      </c>
      <c r="D24" s="235">
        <v>0</v>
      </c>
      <c r="E24" s="235">
        <v>0</v>
      </c>
      <c r="F24" s="235">
        <v>0</v>
      </c>
      <c r="G24" s="235">
        <v>0</v>
      </c>
      <c r="H24" s="235">
        <v>0</v>
      </c>
      <c r="I24" s="262">
        <v>-193115.31</v>
      </c>
      <c r="J24" s="235"/>
      <c r="K24" s="235">
        <v>0</v>
      </c>
      <c r="L24" s="264">
        <v>-193115.31</v>
      </c>
      <c r="M24" s="215" t="str">
        <f>VLOOKUP(B24,'Info Pasajeros e Ingresos P20'!B:C,2,FALSE)</f>
        <v>OTROS INGRESOS</v>
      </c>
      <c r="N24" s="218"/>
      <c r="O24" s="218"/>
    </row>
    <row r="25" spans="2:15" ht="15.75" thickBot="1">
      <c r="B25" s="252" t="s">
        <v>71</v>
      </c>
      <c r="C25" s="252" t="s">
        <v>71</v>
      </c>
      <c r="D25" s="253">
        <v>1899.61</v>
      </c>
      <c r="E25" s="253">
        <v>1758.06</v>
      </c>
      <c r="F25" s="253">
        <v>2051.65</v>
      </c>
      <c r="G25" s="253">
        <v>1897.86</v>
      </c>
      <c r="H25" s="253">
        <v>1992.23</v>
      </c>
      <c r="I25" s="253">
        <v>1925.83</v>
      </c>
      <c r="J25" s="253">
        <v>2133.79</v>
      </c>
      <c r="K25" s="253">
        <v>1613.01</v>
      </c>
      <c r="L25" s="254">
        <v>15272.039999999999</v>
      </c>
      <c r="M25" s="216" t="str">
        <f>VLOOKUP(B25,'Info Pasajeros e Ingresos P20'!B:C,2,FALSE)</f>
        <v>GUAGUA AMARILLA</v>
      </c>
      <c r="N25" s="219"/>
      <c r="O25" s="219"/>
    </row>
    <row r="26" spans="2:15" ht="15.75" thickBot="1">
      <c r="B26" s="315" t="s">
        <v>101</v>
      </c>
      <c r="C26" s="242" t="s">
        <v>101</v>
      </c>
      <c r="D26" s="243">
        <v>14055.209999999528</v>
      </c>
      <c r="E26" s="243">
        <v>9813.1099999995859</v>
      </c>
      <c r="F26" s="243">
        <v>10318.999999999598</v>
      </c>
      <c r="G26" s="243">
        <v>9652.9599999995753</v>
      </c>
      <c r="H26" s="243">
        <v>12504.679999999562</v>
      </c>
      <c r="I26" s="243">
        <v>12108.559999999554</v>
      </c>
      <c r="J26" s="243">
        <v>8578.1400000001322</v>
      </c>
      <c r="K26" s="243">
        <v>12219.689999999828</v>
      </c>
      <c r="L26" s="244">
        <v>89251.349999997357</v>
      </c>
      <c r="M26" s="216" t="str">
        <f>VLOOKUP(B26,'Info Pasajeros e Ingresos P20'!B:C,2,FALSE)</f>
        <v>INGRESOS POR VENTAS DE CARNETS</v>
      </c>
      <c r="N26" s="224"/>
      <c r="O26" s="224"/>
    </row>
    <row r="27" spans="2:15" ht="15.75" thickBot="1">
      <c r="B27" s="315" t="s">
        <v>101</v>
      </c>
      <c r="C27" s="250" t="s">
        <v>300</v>
      </c>
      <c r="D27" s="234">
        <v>0</v>
      </c>
      <c r="E27" s="234">
        <v>0</v>
      </c>
      <c r="F27" s="234">
        <v>0</v>
      </c>
      <c r="G27" s="234">
        <v>-1206.5700000000002</v>
      </c>
      <c r="H27" s="234">
        <v>-4281.6899999999996</v>
      </c>
      <c r="I27" s="234">
        <v>-4615.0200000000004</v>
      </c>
      <c r="J27" s="234">
        <v>0</v>
      </c>
      <c r="K27" s="234">
        <v>-4267.5999999999995</v>
      </c>
      <c r="L27" s="251">
        <v>-14370.880000000001</v>
      </c>
      <c r="M27" s="216" t="str">
        <f>VLOOKUP(B27,'Info Pasajeros e Ingresos P20'!B:C,2,FALSE)</f>
        <v>INGRESOS POR VENTAS DE CARNETS</v>
      </c>
      <c r="N27" s="224"/>
      <c r="O27" s="224"/>
    </row>
    <row r="28" spans="2:15" ht="15.75" thickBot="1">
      <c r="B28" s="315" t="s">
        <v>101</v>
      </c>
      <c r="C28" s="245" t="s">
        <v>301</v>
      </c>
      <c r="D28" s="235">
        <v>4971.96</v>
      </c>
      <c r="E28" s="235">
        <v>0</v>
      </c>
      <c r="F28" s="235">
        <v>4971.96</v>
      </c>
      <c r="G28" s="235">
        <v>0</v>
      </c>
      <c r="H28" s="235">
        <v>4971.96</v>
      </c>
      <c r="I28" s="235">
        <v>5000.13</v>
      </c>
      <c r="J28" s="235">
        <v>4971.96</v>
      </c>
      <c r="K28" s="235">
        <v>0</v>
      </c>
      <c r="L28" s="246">
        <v>24887.97</v>
      </c>
      <c r="M28" s="216" t="str">
        <f>VLOOKUP(B28,'Info Pasajeros e Ingresos P20'!B:C,2,FALSE)</f>
        <v>INGRESOS POR VENTAS DE CARNETS</v>
      </c>
      <c r="N28" s="224"/>
      <c r="O28" s="224"/>
    </row>
    <row r="29" spans="2:15" ht="15.75" thickBot="1">
      <c r="B29" s="252" t="s">
        <v>326</v>
      </c>
      <c r="C29" s="252" t="s">
        <v>302</v>
      </c>
      <c r="D29" s="253">
        <v>112.20999999999994</v>
      </c>
      <c r="E29" s="253">
        <v>98.329999999999984</v>
      </c>
      <c r="F29" s="253">
        <v>96.889999999999986</v>
      </c>
      <c r="G29" s="253">
        <v>43.37</v>
      </c>
      <c r="H29" s="253">
        <v>65.260000000000005</v>
      </c>
      <c r="I29" s="253">
        <v>36.17</v>
      </c>
      <c r="J29" s="253">
        <v>51.03</v>
      </c>
      <c r="K29" s="253">
        <v>53.59</v>
      </c>
      <c r="L29" s="254">
        <v>556.84999999999991</v>
      </c>
      <c r="M29" s="216" t="str">
        <f>VLOOKUP(B29,'Info Pasajeros e Ingresos P20'!B:C,2,FALSE)</f>
        <v>OTROS INGRESOS</v>
      </c>
      <c r="N29" s="232"/>
      <c r="O29" s="232"/>
    </row>
    <row r="30" spans="2:15" ht="15.75" thickBot="1">
      <c r="B30" s="252" t="s">
        <v>58</v>
      </c>
      <c r="C30" s="252" t="s">
        <v>58</v>
      </c>
      <c r="D30" s="253">
        <v>634379.41</v>
      </c>
      <c r="E30" s="253">
        <v>552418.27000000014</v>
      </c>
      <c r="F30" s="253">
        <v>594348.95000000007</v>
      </c>
      <c r="G30" s="253">
        <v>528092.21</v>
      </c>
      <c r="H30" s="253">
        <v>546439.02999999991</v>
      </c>
      <c r="I30" s="253">
        <v>547337.4800000001</v>
      </c>
      <c r="J30" s="253">
        <v>565260.20000000007</v>
      </c>
      <c r="K30" s="253">
        <v>514997.46000000008</v>
      </c>
      <c r="L30" s="254">
        <v>4483273.0100000007</v>
      </c>
      <c r="M30" s="216" t="str">
        <f>VLOOKUP(B30,'Info Pasajeros e Ingresos P20'!B:C,2,FALSE)</f>
        <v>PAGO DIRECTO</v>
      </c>
      <c r="N30" s="224"/>
      <c r="O30" s="224"/>
    </row>
    <row r="31" spans="2:15" ht="15.75" thickBot="1">
      <c r="B31" s="252" t="s">
        <v>266</v>
      </c>
      <c r="C31" s="252" t="s">
        <v>266</v>
      </c>
      <c r="D31" s="253">
        <v>568088.34000000008</v>
      </c>
      <c r="E31" s="253">
        <v>429165.7</v>
      </c>
      <c r="F31" s="253">
        <v>429165.7</v>
      </c>
      <c r="G31" s="253">
        <v>1576923.01</v>
      </c>
      <c r="H31" s="253">
        <v>429165.7</v>
      </c>
      <c r="I31" s="253">
        <v>2057678.8199999998</v>
      </c>
      <c r="J31" s="253">
        <v>746661.40999999992</v>
      </c>
      <c r="K31" s="253">
        <v>418993.11</v>
      </c>
      <c r="L31" s="263">
        <v>6655841.79</v>
      </c>
      <c r="M31" s="215" t="e">
        <f>VLOOKUP(B31,'Info Pasajeros e Ingresos P20'!B:C,2,FALSE)</f>
        <v>#N/A</v>
      </c>
      <c r="N31" s="224"/>
      <c r="O31" s="224"/>
    </row>
    <row r="32" spans="2:15" ht="15.75" thickBot="1">
      <c r="B32" s="252" t="s">
        <v>61</v>
      </c>
      <c r="C32" s="252" t="s">
        <v>61</v>
      </c>
      <c r="D32" s="253">
        <v>48297.540000000008</v>
      </c>
      <c r="E32" s="253">
        <v>47540.160000000003</v>
      </c>
      <c r="F32" s="253">
        <v>46918.719999999994</v>
      </c>
      <c r="G32" s="253">
        <v>45986.52</v>
      </c>
      <c r="H32" s="253">
        <v>45510.770000000004</v>
      </c>
      <c r="I32" s="253">
        <v>44180.46</v>
      </c>
      <c r="J32" s="253">
        <v>42092.83</v>
      </c>
      <c r="K32" s="253">
        <v>38597.24</v>
      </c>
      <c r="L32" s="254">
        <v>359124.24000000005</v>
      </c>
      <c r="M32" s="216" t="str">
        <f>VLOOKUP(B32,'Info Pasajeros e Ingresos P20'!B:C,2,FALSE)</f>
        <v>BONO SOLIDARIO</v>
      </c>
      <c r="N32" s="222"/>
      <c r="O32" s="222"/>
    </row>
    <row r="33" spans="2:15" ht="15.75" thickBot="1">
      <c r="B33" s="242" t="s">
        <v>73</v>
      </c>
      <c r="C33" s="242" t="s">
        <v>73</v>
      </c>
      <c r="D33" s="255">
        <v>0</v>
      </c>
      <c r="E33" s="255">
        <v>0</v>
      </c>
      <c r="F33" s="255">
        <v>0</v>
      </c>
      <c r="G33" s="255">
        <v>0</v>
      </c>
      <c r="H33" s="255">
        <v>0</v>
      </c>
      <c r="I33" s="255">
        <v>0</v>
      </c>
      <c r="J33" s="243">
        <v>883.33</v>
      </c>
      <c r="K33" s="243">
        <v>48.53</v>
      </c>
      <c r="L33" s="244">
        <v>931.86</v>
      </c>
      <c r="M33" s="216" t="str">
        <f>VLOOKUP(B33,'Info Pasajeros e Ingresos P20'!B:C,2,FALSE)</f>
        <v>TARJETA TURISTICA (LIVE 1 DAY CARD)</v>
      </c>
      <c r="N33" s="219"/>
      <c r="O33" s="219"/>
    </row>
    <row r="34" spans="2:15" ht="15.75" thickBot="1">
      <c r="B34" s="245" t="s">
        <v>74</v>
      </c>
      <c r="C34" s="245" t="s">
        <v>74</v>
      </c>
      <c r="D34" s="256">
        <v>0</v>
      </c>
      <c r="E34" s="256">
        <v>0</v>
      </c>
      <c r="F34" s="256">
        <v>0</v>
      </c>
      <c r="G34" s="256">
        <v>0</v>
      </c>
      <c r="H34" s="256">
        <v>0</v>
      </c>
      <c r="I34" s="256">
        <v>0</v>
      </c>
      <c r="J34" s="235">
        <v>1514.52</v>
      </c>
      <c r="K34" s="235">
        <v>116.52</v>
      </c>
      <c r="L34" s="246">
        <v>1631.04</v>
      </c>
      <c r="M34" s="216" t="str">
        <f>VLOOKUP(B34,'Info Pasajeros e Ingresos P20'!B:C,2,FALSE)</f>
        <v>TARJETA TURISTICA (LIVE 3 DAY CARD)</v>
      </c>
      <c r="N34" s="224"/>
      <c r="O34" s="224"/>
    </row>
    <row r="35" spans="2:15" ht="15.75" thickBot="1">
      <c r="B35" s="167" t="s">
        <v>64</v>
      </c>
      <c r="C35" s="252" t="s">
        <v>100</v>
      </c>
      <c r="D35" s="253">
        <v>23486.02</v>
      </c>
      <c r="E35" s="253">
        <v>16536.310000000001</v>
      </c>
      <c r="F35" s="253">
        <v>19083.5</v>
      </c>
      <c r="G35" s="253">
        <v>18231.259999999998</v>
      </c>
      <c r="H35" s="253">
        <v>18693.400000000001</v>
      </c>
      <c r="I35" s="257">
        <v>0</v>
      </c>
      <c r="J35" s="257">
        <v>37520</v>
      </c>
      <c r="K35" s="253">
        <v>15232.82</v>
      </c>
      <c r="L35" s="254">
        <v>148783.31</v>
      </c>
      <c r="M35" s="216" t="str">
        <f>VLOOKUP(B35,'Info Pasajeros e Ingresos P20'!B:C,2,FALSE)</f>
        <v>TRANSGRANCANARIA</v>
      </c>
    </row>
    <row r="36" spans="2:15" ht="15.75" thickBot="1">
      <c r="L36" s="220">
        <f>L2</f>
        <v>21880288.019999992</v>
      </c>
      <c r="M36" s="223" t="s">
        <v>104</v>
      </c>
    </row>
    <row r="37" spans="2:15" ht="15.75" thickBot="1">
      <c r="L37" s="220">
        <f>L31</f>
        <v>6655841.79</v>
      </c>
      <c r="M37" s="223" t="s">
        <v>266</v>
      </c>
    </row>
    <row r="38" spans="2:15" ht="15.75" thickBot="1">
      <c r="L38" s="220"/>
      <c r="M38" s="223" t="s">
        <v>303</v>
      </c>
    </row>
    <row r="39" spans="2:15" ht="15.75" thickBot="1">
      <c r="L39" s="220"/>
      <c r="M39" s="223"/>
    </row>
    <row r="41" spans="2:15">
      <c r="L41" s="220">
        <f>L36-L37-L38-L39-L40</f>
        <v>15224446.229999993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sheetPr filterMode="1">
    <tabColor rgb="FFFFFF00"/>
  </sheetPr>
  <dimension ref="A2:N129"/>
  <sheetViews>
    <sheetView workbookViewId="0">
      <selection activeCell="C149" sqref="C149"/>
    </sheetView>
  </sheetViews>
  <sheetFormatPr baseColWidth="10" defaultColWidth="11.42578125" defaultRowHeight="11.25"/>
  <cols>
    <col min="1" max="1" width="18.28515625" style="197" bestFit="1" customWidth="1"/>
    <col min="2" max="2" width="21.7109375" style="197" customWidth="1"/>
    <col min="3" max="3" width="48.28515625" style="197" bestFit="1" customWidth="1"/>
    <col min="4" max="7" width="11.42578125" style="197" customWidth="1"/>
    <col min="8" max="8" width="18.42578125" style="197" bestFit="1" customWidth="1"/>
    <col min="9" max="9" width="6.140625" style="198" customWidth="1"/>
    <col min="10" max="10" width="1.5703125" style="197" customWidth="1"/>
    <col min="11" max="11" width="11.42578125" style="197"/>
    <col min="12" max="12" width="24.28515625" style="197" bestFit="1" customWidth="1"/>
    <col min="13" max="13" width="59" style="197" bestFit="1" customWidth="1"/>
    <col min="14" max="14" width="13" style="199" customWidth="1"/>
    <col min="15" max="16384" width="11.42578125" style="197"/>
  </cols>
  <sheetData>
    <row r="2" spans="1:14" ht="12" thickBot="1">
      <c r="C2" s="116" t="s">
        <v>140</v>
      </c>
      <c r="D2" s="116" t="s">
        <v>136</v>
      </c>
      <c r="F2" s="116"/>
      <c r="G2" s="116" t="s">
        <v>136</v>
      </c>
    </row>
    <row r="3" spans="1:14" ht="12" thickBot="1">
      <c r="C3" s="17" t="s">
        <v>137</v>
      </c>
      <c r="D3" s="153">
        <v>43466</v>
      </c>
      <c r="E3" s="116" t="s">
        <v>138</v>
      </c>
      <c r="F3" s="116" t="s">
        <v>139</v>
      </c>
      <c r="G3" s="153">
        <v>43708</v>
      </c>
      <c r="L3" s="54" t="s">
        <v>112</v>
      </c>
      <c r="M3" s="55" t="s">
        <v>113</v>
      </c>
      <c r="N3" s="173" t="s">
        <v>257</v>
      </c>
    </row>
    <row r="4" spans="1:14" ht="12" thickBot="1">
      <c r="C4" s="17">
        <v>705000000</v>
      </c>
      <c r="D4" s="116">
        <v>0</v>
      </c>
      <c r="E4" s="116">
        <v>1737167.57</v>
      </c>
      <c r="F4" s="116">
        <v>21612502.170000002</v>
      </c>
      <c r="G4" s="116">
        <v>-19875334.600000001</v>
      </c>
      <c r="H4" s="212">
        <f>SUM(H6:H122)</f>
        <v>-20570257.16</v>
      </c>
      <c r="L4" s="162" t="s">
        <v>58</v>
      </c>
      <c r="M4" s="163" t="s">
        <v>83</v>
      </c>
      <c r="N4" s="175">
        <f>-SUMIF(A:A,L4,H:H)</f>
        <v>4483273.01</v>
      </c>
    </row>
    <row r="5" spans="1:14" ht="12" thickBot="1">
      <c r="A5" s="54" t="s">
        <v>112</v>
      </c>
      <c r="B5" s="55" t="s">
        <v>113</v>
      </c>
      <c r="C5" s="55" t="s">
        <v>264</v>
      </c>
      <c r="D5" s="116">
        <v>0</v>
      </c>
      <c r="E5" s="116">
        <v>138922.64000000001</v>
      </c>
      <c r="F5" s="116">
        <v>-138922.64000000001</v>
      </c>
      <c r="G5" s="116"/>
      <c r="H5" s="55" t="s">
        <v>277</v>
      </c>
      <c r="I5" s="176"/>
      <c r="L5" s="161" t="s">
        <v>59</v>
      </c>
      <c r="M5" s="160" t="s">
        <v>88</v>
      </c>
      <c r="N5" s="175">
        <f t="shared" ref="N5:N30" si="0">-SUMIF(A:A,L5,H:H)</f>
        <v>70467.779999999984</v>
      </c>
    </row>
    <row r="6" spans="1:14" hidden="1">
      <c r="A6" s="75" t="s">
        <v>59</v>
      </c>
      <c r="B6" s="76" t="s">
        <v>88</v>
      </c>
      <c r="C6" s="17" t="s">
        <v>141</v>
      </c>
      <c r="D6" s="116">
        <v>0</v>
      </c>
      <c r="E6" s="116">
        <v>40.81</v>
      </c>
      <c r="F6" s="116">
        <v>69937.649999999994</v>
      </c>
      <c r="G6" s="116">
        <v>-69896.84</v>
      </c>
      <c r="H6" s="212">
        <f>G6</f>
        <v>-69896.84</v>
      </c>
      <c r="I6" s="176" t="str">
        <f>VLOOKUP(A6,L:M,2,FALSE)</f>
        <v>BONO FACIL</v>
      </c>
      <c r="L6" s="75" t="s">
        <v>60</v>
      </c>
      <c r="M6" s="76"/>
      <c r="N6" s="175">
        <f t="shared" si="0"/>
        <v>0</v>
      </c>
    </row>
    <row r="7" spans="1:14" hidden="1">
      <c r="A7" s="81" t="s">
        <v>61</v>
      </c>
      <c r="B7" s="76" t="s">
        <v>95</v>
      </c>
      <c r="C7" s="17" t="s">
        <v>142</v>
      </c>
      <c r="D7" s="116">
        <v>0</v>
      </c>
      <c r="E7" s="116">
        <v>0</v>
      </c>
      <c r="F7" s="116">
        <v>48326.67</v>
      </c>
      <c r="G7" s="116">
        <v>-48326.67</v>
      </c>
      <c r="H7" s="212">
        <f t="shared" ref="H7:H70" si="1">G7</f>
        <v>-48326.67</v>
      </c>
      <c r="I7" s="176" t="str">
        <f t="shared" ref="I7:I70" si="2">VLOOKUP(A7,L:M,2,FALSE)</f>
        <v>BONO SOLIDARIO</v>
      </c>
      <c r="L7" s="159" t="s">
        <v>61</v>
      </c>
      <c r="M7" s="160" t="s">
        <v>95</v>
      </c>
      <c r="N7" s="175">
        <f t="shared" si="0"/>
        <v>359124.24</v>
      </c>
    </row>
    <row r="8" spans="1:14" hidden="1">
      <c r="A8" s="81" t="s">
        <v>82</v>
      </c>
      <c r="B8" s="76" t="s">
        <v>96</v>
      </c>
      <c r="C8" s="17" t="s">
        <v>143</v>
      </c>
      <c r="D8" s="116">
        <v>0</v>
      </c>
      <c r="E8" s="116">
        <v>9.7100000000000009</v>
      </c>
      <c r="F8" s="116">
        <v>3000.39</v>
      </c>
      <c r="G8" s="116">
        <v>-2990.68</v>
      </c>
      <c r="H8" s="212">
        <f t="shared" si="1"/>
        <v>-2990.68</v>
      </c>
      <c r="I8" s="176" t="str">
        <f t="shared" si="2"/>
        <v>BONO SOLIDARIO GM-GLOBAL (BONO SOLIDARIO COMPARTIDO)</v>
      </c>
      <c r="L8" s="161" t="s">
        <v>62</v>
      </c>
      <c r="M8" s="160" t="s">
        <v>86</v>
      </c>
      <c r="N8" s="175">
        <f t="shared" si="0"/>
        <v>117118.62999999999</v>
      </c>
    </row>
    <row r="9" spans="1:14" hidden="1">
      <c r="A9" s="75" t="s">
        <v>62</v>
      </c>
      <c r="B9" s="76" t="s">
        <v>86</v>
      </c>
      <c r="C9" s="17" t="s">
        <v>144</v>
      </c>
      <c r="D9" s="116">
        <v>0</v>
      </c>
      <c r="E9" s="116">
        <v>0</v>
      </c>
      <c r="F9" s="116">
        <v>20466.54</v>
      </c>
      <c r="G9" s="116">
        <v>-20466.54</v>
      </c>
      <c r="H9" s="212">
        <f t="shared" si="1"/>
        <v>-20466.54</v>
      </c>
      <c r="I9" s="176" t="str">
        <f t="shared" si="2"/>
        <v>BONO ESTUDIANTE</v>
      </c>
      <c r="L9" s="161" t="s">
        <v>63</v>
      </c>
      <c r="M9" s="160" t="s">
        <v>89</v>
      </c>
      <c r="N9" s="175">
        <f t="shared" si="0"/>
        <v>0</v>
      </c>
    </row>
    <row r="10" spans="1:14" hidden="1">
      <c r="A10" s="81" t="s">
        <v>78</v>
      </c>
      <c r="B10" s="76" t="s">
        <v>87</v>
      </c>
      <c r="C10" s="17" t="s">
        <v>145</v>
      </c>
      <c r="D10" s="116">
        <v>0</v>
      </c>
      <c r="E10" s="116">
        <v>27.18</v>
      </c>
      <c r="F10" s="116">
        <v>788.22</v>
      </c>
      <c r="G10" s="116">
        <v>-761.04</v>
      </c>
      <c r="H10" s="212">
        <f t="shared" si="1"/>
        <v>-761.04</v>
      </c>
      <c r="I10" s="176" t="str">
        <f t="shared" si="2"/>
        <v>BONO ESTUDIANTE GM-GLOBAL (BONO ESTUDIANTE COMPARTIDO)</v>
      </c>
      <c r="L10" s="161" t="s">
        <v>64</v>
      </c>
      <c r="M10" s="160" t="s">
        <v>100</v>
      </c>
      <c r="N10" s="175">
        <f t="shared" si="0"/>
        <v>148783.31</v>
      </c>
    </row>
    <row r="11" spans="1:14" hidden="1">
      <c r="A11" s="81" t="s">
        <v>61</v>
      </c>
      <c r="B11" s="76" t="s">
        <v>95</v>
      </c>
      <c r="C11" s="17" t="s">
        <v>146</v>
      </c>
      <c r="D11" s="116">
        <v>0</v>
      </c>
      <c r="E11" s="116">
        <v>29.13</v>
      </c>
      <c r="F11" s="116">
        <v>47569.29</v>
      </c>
      <c r="G11" s="116">
        <v>-47540.160000000003</v>
      </c>
      <c r="H11" s="212">
        <f t="shared" si="1"/>
        <v>-47540.160000000003</v>
      </c>
      <c r="I11" s="176" t="str">
        <f t="shared" si="2"/>
        <v>BONO SOLIDARIO</v>
      </c>
      <c r="L11" s="161" t="s">
        <v>65</v>
      </c>
      <c r="M11" s="160" t="s">
        <v>84</v>
      </c>
      <c r="N11" s="175">
        <f t="shared" si="0"/>
        <v>6685490.1399999997</v>
      </c>
    </row>
    <row r="12" spans="1:14" hidden="1">
      <c r="A12" s="81" t="s">
        <v>82</v>
      </c>
      <c r="B12" s="76" t="s">
        <v>96</v>
      </c>
      <c r="C12" s="17" t="s">
        <v>147</v>
      </c>
      <c r="D12" s="116">
        <v>0</v>
      </c>
      <c r="E12" s="116">
        <v>38.840000000000003</v>
      </c>
      <c r="F12" s="116">
        <v>3058.65</v>
      </c>
      <c r="G12" s="116">
        <v>-3019.81</v>
      </c>
      <c r="H12" s="212">
        <f t="shared" si="1"/>
        <v>-3019.81</v>
      </c>
      <c r="I12" s="176" t="str">
        <f t="shared" si="2"/>
        <v>BONO SOLIDARIO GM-GLOBAL (BONO SOLIDARIO COMPARTIDO)</v>
      </c>
      <c r="L12" s="75" t="s">
        <v>66</v>
      </c>
      <c r="M12" s="76"/>
      <c r="N12" s="175">
        <f t="shared" si="0"/>
        <v>0</v>
      </c>
    </row>
    <row r="13" spans="1:14" hidden="1">
      <c r="A13" s="75" t="s">
        <v>62</v>
      </c>
      <c r="B13" s="76" t="s">
        <v>86</v>
      </c>
      <c r="C13" s="17" t="s">
        <v>148</v>
      </c>
      <c r="D13" s="116">
        <v>0</v>
      </c>
      <c r="E13" s="116">
        <v>0</v>
      </c>
      <c r="F13" s="116">
        <v>23483.53</v>
      </c>
      <c r="G13" s="116">
        <v>-23483.53</v>
      </c>
      <c r="H13" s="212">
        <f t="shared" si="1"/>
        <v>-23483.53</v>
      </c>
      <c r="I13" s="176" t="str">
        <f t="shared" si="2"/>
        <v>BONO ESTUDIANTE</v>
      </c>
      <c r="L13" s="75" t="s">
        <v>67</v>
      </c>
      <c r="M13" s="76"/>
      <c r="N13" s="175">
        <f t="shared" si="0"/>
        <v>0</v>
      </c>
    </row>
    <row r="14" spans="1:14" hidden="1">
      <c r="A14" s="81" t="s">
        <v>78</v>
      </c>
      <c r="B14" s="76" t="s">
        <v>87</v>
      </c>
      <c r="C14" s="17" t="s">
        <v>149</v>
      </c>
      <c r="D14" s="116">
        <v>0</v>
      </c>
      <c r="E14" s="116">
        <v>0</v>
      </c>
      <c r="F14" s="116">
        <v>761.04</v>
      </c>
      <c r="G14" s="116">
        <v>-761.04</v>
      </c>
      <c r="H14" s="212">
        <f t="shared" si="1"/>
        <v>-761.04</v>
      </c>
      <c r="I14" s="176" t="str">
        <f t="shared" si="2"/>
        <v>BONO ESTUDIANTE GM-GLOBAL (BONO ESTUDIANTE COMPARTIDO)</v>
      </c>
      <c r="L14" s="161" t="s">
        <v>68</v>
      </c>
      <c r="M14" s="160" t="s">
        <v>93</v>
      </c>
      <c r="N14" s="175">
        <f t="shared" si="0"/>
        <v>-10423.299999999999</v>
      </c>
    </row>
    <row r="15" spans="1:14" hidden="1">
      <c r="A15" s="75" t="s">
        <v>59</v>
      </c>
      <c r="B15" s="76" t="s">
        <v>88</v>
      </c>
      <c r="C15" s="17" t="s">
        <v>150</v>
      </c>
      <c r="D15" s="116">
        <v>0</v>
      </c>
      <c r="E15" s="116">
        <v>0</v>
      </c>
      <c r="F15" s="116">
        <v>40.78</v>
      </c>
      <c r="G15" s="116">
        <v>-40.78</v>
      </c>
      <c r="H15" s="212">
        <f t="shared" si="1"/>
        <v>-40.78</v>
      </c>
      <c r="I15" s="176" t="str">
        <f t="shared" si="2"/>
        <v>BONO FACIL</v>
      </c>
      <c r="L15" s="161" t="s">
        <v>69</v>
      </c>
      <c r="M15" s="160" t="s">
        <v>91</v>
      </c>
      <c r="N15" s="175">
        <f t="shared" si="0"/>
        <v>-67423.62</v>
      </c>
    </row>
    <row r="16" spans="1:14" hidden="1">
      <c r="A16" s="81" t="s">
        <v>82</v>
      </c>
      <c r="B16" s="76" t="s">
        <v>96</v>
      </c>
      <c r="C16" s="17" t="s">
        <v>151</v>
      </c>
      <c r="D16" s="116">
        <v>0</v>
      </c>
      <c r="E16" s="116">
        <v>0</v>
      </c>
      <c r="F16" s="116">
        <v>3136.33</v>
      </c>
      <c r="G16" s="116">
        <v>-3136.33</v>
      </c>
      <c r="H16" s="212">
        <f t="shared" si="1"/>
        <v>-3136.33</v>
      </c>
      <c r="I16" s="176" t="str">
        <f t="shared" si="2"/>
        <v>BONO SOLIDARIO GM-GLOBAL (BONO SOLIDARIO COMPARTIDO)</v>
      </c>
      <c r="L16" s="161" t="s">
        <v>70</v>
      </c>
      <c r="M16" s="164" t="s">
        <v>70</v>
      </c>
      <c r="N16" s="175">
        <f t="shared" si="0"/>
        <v>29572.26</v>
      </c>
    </row>
    <row r="17" spans="1:14" hidden="1">
      <c r="A17" s="81" t="s">
        <v>61</v>
      </c>
      <c r="B17" s="76" t="s">
        <v>95</v>
      </c>
      <c r="C17" s="17" t="s">
        <v>152</v>
      </c>
      <c r="D17" s="116">
        <v>0</v>
      </c>
      <c r="E17" s="116">
        <v>19.420000000000002</v>
      </c>
      <c r="F17" s="116">
        <v>46899.3</v>
      </c>
      <c r="G17" s="116">
        <v>-46879.88</v>
      </c>
      <c r="H17" s="212">
        <f t="shared" si="1"/>
        <v>-46879.88</v>
      </c>
      <c r="I17" s="176" t="str">
        <f t="shared" si="2"/>
        <v>BONO SOLIDARIO</v>
      </c>
      <c r="L17" s="161" t="s">
        <v>71</v>
      </c>
      <c r="M17" s="160" t="s">
        <v>97</v>
      </c>
      <c r="N17" s="175">
        <f t="shared" si="0"/>
        <v>15272.04</v>
      </c>
    </row>
    <row r="18" spans="1:14" hidden="1">
      <c r="A18" s="81" t="s">
        <v>78</v>
      </c>
      <c r="B18" s="76" t="s">
        <v>87</v>
      </c>
      <c r="C18" s="17" t="s">
        <v>153</v>
      </c>
      <c r="D18" s="116">
        <v>0</v>
      </c>
      <c r="E18" s="116">
        <v>0</v>
      </c>
      <c r="F18" s="116">
        <v>570.78</v>
      </c>
      <c r="G18" s="116">
        <v>-570.78</v>
      </c>
      <c r="H18" s="212">
        <f t="shared" si="1"/>
        <v>-570.78</v>
      </c>
      <c r="I18" s="176" t="str">
        <f t="shared" si="2"/>
        <v>BONO ESTUDIANTE GM-GLOBAL (BONO ESTUDIANTE COMPARTIDO)</v>
      </c>
      <c r="L18" s="75" t="s">
        <v>72</v>
      </c>
      <c r="M18" s="76" t="s">
        <v>85</v>
      </c>
      <c r="N18" s="175">
        <f t="shared" si="0"/>
        <v>0</v>
      </c>
    </row>
    <row r="19" spans="1:14" hidden="1">
      <c r="A19" s="75" t="s">
        <v>62</v>
      </c>
      <c r="B19" s="76" t="s">
        <v>86</v>
      </c>
      <c r="C19" s="17" t="s">
        <v>154</v>
      </c>
      <c r="D19" s="116">
        <v>0</v>
      </c>
      <c r="E19" s="116">
        <v>0</v>
      </c>
      <c r="F19" s="116">
        <v>20792.7</v>
      </c>
      <c r="G19" s="116">
        <v>-20792.7</v>
      </c>
      <c r="H19" s="212">
        <f t="shared" si="1"/>
        <v>-20792.7</v>
      </c>
      <c r="I19" s="176" t="str">
        <f t="shared" si="2"/>
        <v>BONO ESTUDIANTE</v>
      </c>
      <c r="L19" s="161" t="s">
        <v>73</v>
      </c>
      <c r="M19" s="160" t="s">
        <v>98</v>
      </c>
      <c r="N19" s="175">
        <f t="shared" si="0"/>
        <v>931.86</v>
      </c>
    </row>
    <row r="20" spans="1:14" hidden="1">
      <c r="A20" s="75" t="s">
        <v>59</v>
      </c>
      <c r="B20" s="76" t="s">
        <v>88</v>
      </c>
      <c r="C20" s="17" t="s">
        <v>155</v>
      </c>
      <c r="D20" s="116">
        <v>0</v>
      </c>
      <c r="E20" s="116">
        <v>0</v>
      </c>
      <c r="F20" s="116">
        <v>40.78</v>
      </c>
      <c r="G20" s="116">
        <v>-40.78</v>
      </c>
      <c r="H20" s="212">
        <f t="shared" si="1"/>
        <v>-40.78</v>
      </c>
      <c r="I20" s="176" t="str">
        <f t="shared" si="2"/>
        <v>BONO FACIL</v>
      </c>
      <c r="L20" s="161" t="s">
        <v>74</v>
      </c>
      <c r="M20" s="160" t="s">
        <v>99</v>
      </c>
      <c r="N20" s="175">
        <f t="shared" si="0"/>
        <v>1631.04</v>
      </c>
    </row>
    <row r="21" spans="1:14" hidden="1">
      <c r="A21" s="81" t="s">
        <v>61</v>
      </c>
      <c r="B21" s="76" t="s">
        <v>95</v>
      </c>
      <c r="C21" s="17" t="s">
        <v>156</v>
      </c>
      <c r="D21" s="116">
        <v>0</v>
      </c>
      <c r="E21" s="116">
        <v>0</v>
      </c>
      <c r="F21" s="116">
        <v>45957.39</v>
      </c>
      <c r="G21" s="116">
        <v>-45957.39</v>
      </c>
      <c r="H21" s="212">
        <f t="shared" si="1"/>
        <v>-45957.39</v>
      </c>
      <c r="I21" s="176" t="str">
        <f t="shared" si="2"/>
        <v>BONO SOLIDARIO</v>
      </c>
      <c r="L21" s="161" t="s">
        <v>75</v>
      </c>
      <c r="M21" s="164" t="s">
        <v>103</v>
      </c>
      <c r="N21" s="175">
        <f t="shared" si="0"/>
        <v>4757.33</v>
      </c>
    </row>
    <row r="22" spans="1:14" hidden="1">
      <c r="A22" s="81" t="s">
        <v>82</v>
      </c>
      <c r="B22" s="76" t="s">
        <v>96</v>
      </c>
      <c r="C22" s="17" t="s">
        <v>157</v>
      </c>
      <c r="D22" s="116">
        <v>0</v>
      </c>
      <c r="E22" s="116">
        <v>0</v>
      </c>
      <c r="F22" s="116">
        <v>3107.2</v>
      </c>
      <c r="G22" s="116">
        <v>-3107.2</v>
      </c>
      <c r="H22" s="212">
        <f t="shared" si="1"/>
        <v>-3107.2</v>
      </c>
      <c r="I22" s="176" t="str">
        <f t="shared" si="2"/>
        <v>BONO SOLIDARIO GM-GLOBAL (BONO SOLIDARIO COMPARTIDO)</v>
      </c>
      <c r="L22" s="161" t="s">
        <v>76</v>
      </c>
      <c r="M22" s="164" t="s">
        <v>102</v>
      </c>
      <c r="N22" s="175">
        <f t="shared" si="0"/>
        <v>1089767.76</v>
      </c>
    </row>
    <row r="23" spans="1:14" hidden="1">
      <c r="A23" s="75" t="s">
        <v>62</v>
      </c>
      <c r="B23" s="76" t="s">
        <v>86</v>
      </c>
      <c r="C23" s="17" t="s">
        <v>158</v>
      </c>
      <c r="D23" s="116">
        <v>0</v>
      </c>
      <c r="E23" s="116">
        <v>27.18</v>
      </c>
      <c r="F23" s="116">
        <v>18020.34</v>
      </c>
      <c r="G23" s="116">
        <v>-17993.16</v>
      </c>
      <c r="H23" s="212">
        <f t="shared" si="1"/>
        <v>-17993.16</v>
      </c>
      <c r="I23" s="176" t="str">
        <f t="shared" si="2"/>
        <v>BONO ESTUDIANTE</v>
      </c>
      <c r="L23" s="161" t="s">
        <v>77</v>
      </c>
      <c r="M23" s="164" t="s">
        <v>77</v>
      </c>
      <c r="N23" s="175">
        <f t="shared" si="0"/>
        <v>996954.93</v>
      </c>
    </row>
    <row r="24" spans="1:14" hidden="1">
      <c r="A24" s="81" t="s">
        <v>78</v>
      </c>
      <c r="B24" s="76" t="s">
        <v>87</v>
      </c>
      <c r="C24" s="17" t="s">
        <v>159</v>
      </c>
      <c r="D24" s="116">
        <v>0</v>
      </c>
      <c r="E24" s="116">
        <v>0</v>
      </c>
      <c r="F24" s="116">
        <v>462.06</v>
      </c>
      <c r="G24" s="116">
        <v>-462.06</v>
      </c>
      <c r="H24" s="212">
        <f t="shared" si="1"/>
        <v>-462.06</v>
      </c>
      <c r="I24" s="176" t="str">
        <f t="shared" si="2"/>
        <v>BONO ESTUDIANTE GM-GLOBAL (BONO ESTUDIANTE COMPARTIDO)</v>
      </c>
      <c r="L24" s="159" t="s">
        <v>78</v>
      </c>
      <c r="M24" s="160" t="s">
        <v>87</v>
      </c>
      <c r="N24" s="175">
        <f t="shared" si="0"/>
        <v>3288.7799999999993</v>
      </c>
    </row>
    <row r="25" spans="1:14" hidden="1">
      <c r="A25" s="81" t="s">
        <v>82</v>
      </c>
      <c r="B25" s="76" t="s">
        <v>96</v>
      </c>
      <c r="C25" s="17" t="s">
        <v>160</v>
      </c>
      <c r="D25" s="116">
        <v>0</v>
      </c>
      <c r="E25" s="116">
        <v>0</v>
      </c>
      <c r="F25" s="116">
        <v>3194.59</v>
      </c>
      <c r="G25" s="116">
        <v>-3194.59</v>
      </c>
      <c r="H25" s="212">
        <f t="shared" si="1"/>
        <v>-3194.59</v>
      </c>
      <c r="I25" s="176" t="str">
        <f t="shared" si="2"/>
        <v>BONO SOLIDARIO GM-GLOBAL (BONO SOLIDARIO COMPARTIDO)</v>
      </c>
      <c r="L25" s="159" t="s">
        <v>79</v>
      </c>
      <c r="M25" s="160" t="s">
        <v>90</v>
      </c>
      <c r="N25" s="175">
        <f t="shared" si="0"/>
        <v>0</v>
      </c>
    </row>
    <row r="26" spans="1:14" hidden="1">
      <c r="A26" s="81" t="s">
        <v>61</v>
      </c>
      <c r="B26" s="76" t="s">
        <v>95</v>
      </c>
      <c r="C26" s="17" t="s">
        <v>161</v>
      </c>
      <c r="D26" s="116">
        <v>0</v>
      </c>
      <c r="E26" s="116">
        <v>9.7100000000000009</v>
      </c>
      <c r="F26" s="116">
        <v>45627.29</v>
      </c>
      <c r="G26" s="116">
        <v>-45617.58</v>
      </c>
      <c r="H26" s="212">
        <f t="shared" si="1"/>
        <v>-45617.58</v>
      </c>
      <c r="I26" s="176" t="str">
        <f t="shared" si="2"/>
        <v>BONO SOLIDARIO</v>
      </c>
      <c r="L26" s="159" t="s">
        <v>80</v>
      </c>
      <c r="M26" s="160" t="s">
        <v>92</v>
      </c>
      <c r="N26" s="175">
        <f t="shared" si="0"/>
        <v>0</v>
      </c>
    </row>
    <row r="27" spans="1:14" hidden="1">
      <c r="A27" s="81" t="s">
        <v>78</v>
      </c>
      <c r="B27" s="76" t="s">
        <v>87</v>
      </c>
      <c r="C27" s="17" t="s">
        <v>162</v>
      </c>
      <c r="D27" s="116">
        <v>0</v>
      </c>
      <c r="E27" s="116">
        <v>0</v>
      </c>
      <c r="F27" s="116">
        <v>407.7</v>
      </c>
      <c r="G27" s="116">
        <v>-407.7</v>
      </c>
      <c r="H27" s="212">
        <f t="shared" si="1"/>
        <v>-407.7</v>
      </c>
      <c r="I27" s="176" t="str">
        <f t="shared" si="2"/>
        <v>BONO ESTUDIANTE GM-GLOBAL (BONO ESTUDIANTE COMPARTIDO)</v>
      </c>
      <c r="L27" s="159" t="s">
        <v>81</v>
      </c>
      <c r="M27" s="160" t="s">
        <v>94</v>
      </c>
      <c r="N27" s="175">
        <f t="shared" si="0"/>
        <v>0</v>
      </c>
    </row>
    <row r="28" spans="1:14" hidden="1">
      <c r="A28" s="75" t="s">
        <v>62</v>
      </c>
      <c r="B28" s="76" t="s">
        <v>86</v>
      </c>
      <c r="C28" s="17" t="s">
        <v>163</v>
      </c>
      <c r="D28" s="116">
        <v>0</v>
      </c>
      <c r="E28" s="116">
        <v>0</v>
      </c>
      <c r="F28" s="116">
        <v>16851.599999999999</v>
      </c>
      <c r="G28" s="116">
        <v>-16851.599999999999</v>
      </c>
      <c r="H28" s="212">
        <f t="shared" si="1"/>
        <v>-16851.599999999999</v>
      </c>
      <c r="I28" s="176" t="str">
        <f t="shared" si="2"/>
        <v>BONO ESTUDIANTE</v>
      </c>
      <c r="L28" s="159" t="s">
        <v>82</v>
      </c>
      <c r="M28" s="160" t="s">
        <v>96</v>
      </c>
      <c r="N28" s="175">
        <f t="shared" si="0"/>
        <v>24440.069999999996</v>
      </c>
    </row>
    <row r="29" spans="1:14" hidden="1">
      <c r="A29" s="81" t="s">
        <v>82</v>
      </c>
      <c r="B29" s="76" t="s">
        <v>96</v>
      </c>
      <c r="C29" s="92" t="s">
        <v>164</v>
      </c>
      <c r="D29" s="90">
        <v>0</v>
      </c>
      <c r="E29" s="90">
        <v>0</v>
      </c>
      <c r="F29" s="90">
        <v>3243.14</v>
      </c>
      <c r="G29" s="90">
        <v>-3243.14</v>
      </c>
      <c r="H29" s="212">
        <f t="shared" si="1"/>
        <v>-3243.14</v>
      </c>
      <c r="I29" s="176" t="str">
        <f t="shared" si="2"/>
        <v>BONO SOLIDARIO GM-GLOBAL (BONO SOLIDARIO COMPARTIDO)</v>
      </c>
      <c r="L29" s="119"/>
      <c r="M29" s="120" t="s">
        <v>129</v>
      </c>
      <c r="N29" s="175">
        <f t="shared" si="0"/>
        <v>0</v>
      </c>
    </row>
    <row r="30" spans="1:14" ht="12" hidden="1" thickBot="1">
      <c r="A30" s="81" t="s">
        <v>61</v>
      </c>
      <c r="B30" s="76" t="s">
        <v>95</v>
      </c>
      <c r="C30" s="17" t="s">
        <v>165</v>
      </c>
      <c r="D30" s="116">
        <v>0</v>
      </c>
      <c r="E30" s="116">
        <v>0</v>
      </c>
      <c r="F30" s="116">
        <v>44151.33</v>
      </c>
      <c r="G30" s="116">
        <v>-44151.33</v>
      </c>
      <c r="H30" s="212">
        <f t="shared" si="1"/>
        <v>-44151.33</v>
      </c>
      <c r="I30" s="176" t="str">
        <f t="shared" si="2"/>
        <v>BONO SOLIDARIO</v>
      </c>
      <c r="L30" s="83" t="s">
        <v>101</v>
      </c>
      <c r="M30" s="84" t="s">
        <v>101</v>
      </c>
      <c r="N30" s="177">
        <f t="shared" si="0"/>
        <v>97959.200000000012</v>
      </c>
    </row>
    <row r="31" spans="1:14" hidden="1">
      <c r="A31" s="81" t="s">
        <v>78</v>
      </c>
      <c r="B31" s="76" t="s">
        <v>87</v>
      </c>
      <c r="C31" s="17" t="s">
        <v>166</v>
      </c>
      <c r="D31" s="116">
        <v>0</v>
      </c>
      <c r="E31" s="116">
        <v>0</v>
      </c>
      <c r="F31" s="116">
        <v>271.8</v>
      </c>
      <c r="G31" s="116">
        <v>-271.8</v>
      </c>
      <c r="H31" s="212">
        <f t="shared" si="1"/>
        <v>-271.8</v>
      </c>
      <c r="I31" s="176" t="str">
        <f t="shared" si="2"/>
        <v>BONO ESTUDIANTE GM-GLOBAL (BONO ESTUDIANTE COMPARTIDO)</v>
      </c>
      <c r="L31" s="89" t="s">
        <v>104</v>
      </c>
      <c r="M31" s="89" t="s">
        <v>104</v>
      </c>
      <c r="N31" s="174">
        <f>SUM(N4:N30)</f>
        <v>14050985.459999995</v>
      </c>
    </row>
    <row r="32" spans="1:14" hidden="1">
      <c r="A32" s="75" t="s">
        <v>62</v>
      </c>
      <c r="B32" s="76" t="s">
        <v>86</v>
      </c>
      <c r="C32" s="17" t="s">
        <v>167</v>
      </c>
      <c r="D32" s="116">
        <v>0</v>
      </c>
      <c r="E32" s="116">
        <v>0</v>
      </c>
      <c r="F32" s="116">
        <v>11334.06</v>
      </c>
      <c r="G32" s="116">
        <v>-11334.06</v>
      </c>
      <c r="H32" s="212">
        <f t="shared" si="1"/>
        <v>-11334.06</v>
      </c>
      <c r="I32" s="176" t="str">
        <f t="shared" si="2"/>
        <v>BONO ESTUDIANTE</v>
      </c>
    </row>
    <row r="33" spans="1:14" hidden="1">
      <c r="A33" s="81" t="s">
        <v>82</v>
      </c>
      <c r="B33" s="76" t="s">
        <v>96</v>
      </c>
      <c r="C33" s="17" t="s">
        <v>168</v>
      </c>
      <c r="D33" s="116">
        <v>0</v>
      </c>
      <c r="E33" s="116">
        <v>0</v>
      </c>
      <c r="F33" s="116">
        <v>2980.97</v>
      </c>
      <c r="G33" s="116">
        <v>-2980.97</v>
      </c>
      <c r="H33" s="212">
        <f t="shared" si="1"/>
        <v>-2980.97</v>
      </c>
      <c r="I33" s="176" t="str">
        <f t="shared" si="2"/>
        <v>BONO SOLIDARIO GM-GLOBAL (BONO SOLIDARIO COMPARTIDO)</v>
      </c>
    </row>
    <row r="34" spans="1:14" hidden="1">
      <c r="A34" s="81" t="s">
        <v>61</v>
      </c>
      <c r="B34" s="76" t="s">
        <v>95</v>
      </c>
      <c r="C34" s="17" t="s">
        <v>169</v>
      </c>
      <c r="D34" s="116">
        <v>0</v>
      </c>
      <c r="E34" s="116">
        <v>9.7100000000000009</v>
      </c>
      <c r="F34" s="116">
        <v>42092.83</v>
      </c>
      <c r="G34" s="116">
        <v>-42083.12</v>
      </c>
      <c r="H34" s="212">
        <f t="shared" si="1"/>
        <v>-42083.12</v>
      </c>
      <c r="I34" s="176" t="str">
        <f t="shared" si="2"/>
        <v>BONO SOLIDARIO</v>
      </c>
      <c r="L34" s="165" t="s">
        <v>265</v>
      </c>
      <c r="M34" s="165" t="s">
        <v>265</v>
      </c>
      <c r="N34" s="175">
        <f>-SUMIF(A:A,L34,G:G)</f>
        <v>2384.85</v>
      </c>
    </row>
    <row r="35" spans="1:14" hidden="1">
      <c r="A35" s="81" t="s">
        <v>78</v>
      </c>
      <c r="B35" s="76" t="s">
        <v>87</v>
      </c>
      <c r="C35" s="17" t="s">
        <v>170</v>
      </c>
      <c r="D35" s="116">
        <v>0</v>
      </c>
      <c r="E35" s="116">
        <v>0</v>
      </c>
      <c r="F35" s="116">
        <v>54.36</v>
      </c>
      <c r="G35" s="116">
        <v>-54.36</v>
      </c>
      <c r="H35" s="212">
        <f t="shared" si="1"/>
        <v>-54.36</v>
      </c>
      <c r="I35" s="176" t="str">
        <f t="shared" si="2"/>
        <v>BONO ESTUDIANTE GM-GLOBAL (BONO ESTUDIANTE COMPARTIDO)</v>
      </c>
      <c r="L35" s="166" t="s">
        <v>266</v>
      </c>
      <c r="M35" s="166" t="s">
        <v>266</v>
      </c>
      <c r="N35" s="175">
        <f>-SUMIF(A:A,L35,G:G)</f>
        <v>6516919.1500000004</v>
      </c>
    </row>
    <row r="36" spans="1:14" hidden="1">
      <c r="A36" s="75" t="s">
        <v>62</v>
      </c>
      <c r="B36" s="76" t="s">
        <v>86</v>
      </c>
      <c r="C36" s="17" t="s">
        <v>171</v>
      </c>
      <c r="D36" s="116">
        <v>0</v>
      </c>
      <c r="E36" s="116">
        <v>0</v>
      </c>
      <c r="F36" s="116">
        <v>3696.48</v>
      </c>
      <c r="G36" s="116">
        <v>-3696.48</v>
      </c>
      <c r="H36" s="212">
        <f t="shared" si="1"/>
        <v>-3696.48</v>
      </c>
      <c r="I36" s="176" t="str">
        <f t="shared" si="2"/>
        <v>BONO ESTUDIANTE</v>
      </c>
      <c r="N36" s="174">
        <f>SUM(N34:N35)</f>
        <v>6519304</v>
      </c>
    </row>
    <row r="37" spans="1:14" hidden="1">
      <c r="A37" s="75" t="s">
        <v>59</v>
      </c>
      <c r="B37" s="76" t="s">
        <v>88</v>
      </c>
      <c r="C37" s="17" t="s">
        <v>172</v>
      </c>
      <c r="D37" s="116">
        <v>0</v>
      </c>
      <c r="E37" s="116">
        <v>0</v>
      </c>
      <c r="F37" s="116">
        <v>40.78</v>
      </c>
      <c r="G37" s="116">
        <v>-40.78</v>
      </c>
      <c r="H37" s="212">
        <f t="shared" si="1"/>
        <v>-40.78</v>
      </c>
      <c r="I37" s="176" t="str">
        <f t="shared" si="2"/>
        <v>BONO FACIL</v>
      </c>
      <c r="N37" s="200">
        <f>N31+N36+H4</f>
        <v>32.299999993294477</v>
      </c>
    </row>
    <row r="38" spans="1:14" hidden="1">
      <c r="A38" s="81" t="s">
        <v>61</v>
      </c>
      <c r="B38" s="76" t="s">
        <v>95</v>
      </c>
      <c r="C38" s="17" t="s">
        <v>173</v>
      </c>
      <c r="D38" s="116">
        <v>0</v>
      </c>
      <c r="E38" s="116">
        <v>0</v>
      </c>
      <c r="F38" s="116">
        <v>38606.949999999997</v>
      </c>
      <c r="G38" s="116">
        <v>-38606.949999999997</v>
      </c>
      <c r="H38" s="212">
        <f t="shared" si="1"/>
        <v>-38606.949999999997</v>
      </c>
      <c r="I38" s="176" t="str">
        <f t="shared" si="2"/>
        <v>BONO SOLIDARIO</v>
      </c>
    </row>
    <row r="39" spans="1:14" hidden="1">
      <c r="A39" s="81" t="s">
        <v>82</v>
      </c>
      <c r="B39" s="76" t="s">
        <v>96</v>
      </c>
      <c r="C39" s="17" t="s">
        <v>174</v>
      </c>
      <c r="D39" s="116">
        <v>0</v>
      </c>
      <c r="E39" s="116">
        <v>0</v>
      </c>
      <c r="F39" s="116">
        <v>2747.93</v>
      </c>
      <c r="G39" s="116">
        <v>-2747.93</v>
      </c>
      <c r="H39" s="212">
        <f t="shared" si="1"/>
        <v>-2747.93</v>
      </c>
      <c r="I39" s="176" t="str">
        <f t="shared" si="2"/>
        <v>BONO SOLIDARIO GM-GLOBAL (BONO SOLIDARIO COMPARTIDO)</v>
      </c>
    </row>
    <row r="40" spans="1:14" hidden="1">
      <c r="A40" s="75" t="s">
        <v>62</v>
      </c>
      <c r="B40" s="76" t="s">
        <v>86</v>
      </c>
      <c r="C40" s="17" t="s">
        <v>175</v>
      </c>
      <c r="D40" s="116">
        <v>0</v>
      </c>
      <c r="E40" s="116">
        <v>0</v>
      </c>
      <c r="F40" s="116">
        <v>2446.1999999999998</v>
      </c>
      <c r="G40" s="116">
        <v>-2446.1999999999998</v>
      </c>
      <c r="H40" s="212">
        <f t="shared" si="1"/>
        <v>-2446.1999999999998</v>
      </c>
      <c r="I40" s="176" t="str">
        <f t="shared" si="2"/>
        <v>BONO ESTUDIANTE</v>
      </c>
    </row>
    <row r="41" spans="1:14" hidden="1">
      <c r="A41" s="81" t="s">
        <v>78</v>
      </c>
      <c r="B41" s="76" t="s">
        <v>87</v>
      </c>
      <c r="C41" s="17" t="s">
        <v>176</v>
      </c>
      <c r="D41" s="116">
        <v>0</v>
      </c>
      <c r="E41" s="116">
        <v>0</v>
      </c>
      <c r="F41" s="116">
        <v>27.18</v>
      </c>
      <c r="G41" s="116">
        <v>-27.18</v>
      </c>
      <c r="H41" s="212">
        <f t="shared" si="1"/>
        <v>-27.18</v>
      </c>
      <c r="I41" s="176" t="str">
        <f t="shared" si="2"/>
        <v>BONO ESTUDIANTE GM-GLOBAL (BONO ESTUDIANTE COMPARTIDO)</v>
      </c>
    </row>
    <row r="42" spans="1:14" hidden="1">
      <c r="A42" s="75" t="s">
        <v>59</v>
      </c>
      <c r="B42" s="76" t="s">
        <v>88</v>
      </c>
      <c r="C42" s="17" t="s">
        <v>177</v>
      </c>
      <c r="D42" s="116">
        <v>0</v>
      </c>
      <c r="E42" s="116">
        <v>0</v>
      </c>
      <c r="F42" s="116">
        <v>40.78</v>
      </c>
      <c r="G42" s="116">
        <v>-40.78</v>
      </c>
      <c r="H42" s="212">
        <f t="shared" si="1"/>
        <v>-40.78</v>
      </c>
      <c r="I42" s="176" t="str">
        <f t="shared" si="2"/>
        <v>BONO FACIL</v>
      </c>
    </row>
    <row r="43" spans="1:14" hidden="1">
      <c r="A43" s="75" t="s">
        <v>59</v>
      </c>
      <c r="B43" s="76" t="s">
        <v>88</v>
      </c>
      <c r="C43" s="17" t="s">
        <v>178</v>
      </c>
      <c r="D43" s="116">
        <v>0</v>
      </c>
      <c r="E43" s="116">
        <v>0</v>
      </c>
      <c r="F43" s="116">
        <v>81.56</v>
      </c>
      <c r="G43" s="116">
        <v>-81.56</v>
      </c>
      <c r="H43" s="212">
        <f t="shared" si="1"/>
        <v>-81.56</v>
      </c>
      <c r="I43" s="176" t="str">
        <f t="shared" si="2"/>
        <v>BONO FACIL</v>
      </c>
    </row>
    <row r="44" spans="1:14" hidden="1">
      <c r="A44" s="81" t="s">
        <v>82</v>
      </c>
      <c r="B44" s="76" t="s">
        <v>96</v>
      </c>
      <c r="C44" s="17" t="s">
        <v>179</v>
      </c>
      <c r="D44" s="116">
        <v>0</v>
      </c>
      <c r="E44" s="116">
        <v>0</v>
      </c>
      <c r="F44" s="116">
        <v>19.420000000000002</v>
      </c>
      <c r="G44" s="116">
        <v>-19.420000000000002</v>
      </c>
      <c r="H44" s="212">
        <f t="shared" si="1"/>
        <v>-19.420000000000002</v>
      </c>
      <c r="I44" s="176" t="str">
        <f t="shared" si="2"/>
        <v>BONO SOLIDARIO GM-GLOBAL (BONO SOLIDARIO COMPARTIDO)</v>
      </c>
    </row>
    <row r="45" spans="1:14" hidden="1">
      <c r="A45" s="81" t="s">
        <v>61</v>
      </c>
      <c r="B45" s="76" t="s">
        <v>95</v>
      </c>
      <c r="C45" s="17" t="s">
        <v>180</v>
      </c>
      <c r="D45" s="116">
        <v>0</v>
      </c>
      <c r="E45" s="116">
        <v>48.55</v>
      </c>
      <c r="F45" s="116">
        <v>9.7100000000000009</v>
      </c>
      <c r="G45" s="116">
        <v>38.840000000000003</v>
      </c>
      <c r="H45" s="212">
        <f t="shared" si="1"/>
        <v>38.840000000000003</v>
      </c>
      <c r="I45" s="176" t="str">
        <f t="shared" si="2"/>
        <v>BONO SOLIDARIO</v>
      </c>
    </row>
    <row r="46" spans="1:14" hidden="1">
      <c r="A46" s="75" t="s">
        <v>59</v>
      </c>
      <c r="B46" s="76" t="s">
        <v>88</v>
      </c>
      <c r="C46" s="17" t="s">
        <v>181</v>
      </c>
      <c r="D46" s="116">
        <v>0</v>
      </c>
      <c r="E46" s="116">
        <v>0</v>
      </c>
      <c r="F46" s="116">
        <v>203.92</v>
      </c>
      <c r="G46" s="116">
        <v>-203.92</v>
      </c>
      <c r="H46" s="212">
        <f t="shared" si="1"/>
        <v>-203.92</v>
      </c>
      <c r="I46" s="176" t="str">
        <f t="shared" si="2"/>
        <v>BONO FACIL</v>
      </c>
    </row>
    <row r="47" spans="1:14" hidden="1">
      <c r="A47" s="81" t="s">
        <v>82</v>
      </c>
      <c r="B47" s="76" t="s">
        <v>96</v>
      </c>
      <c r="C47" s="17" t="s">
        <v>182</v>
      </c>
      <c r="D47" s="116">
        <v>0</v>
      </c>
      <c r="E47" s="116">
        <v>58.26</v>
      </c>
      <c r="F47" s="116">
        <v>29.13</v>
      </c>
      <c r="G47" s="116">
        <v>29.13</v>
      </c>
      <c r="H47" s="212">
        <f t="shared" si="1"/>
        <v>29.13</v>
      </c>
      <c r="I47" s="176" t="str">
        <f t="shared" si="2"/>
        <v>BONO SOLIDARIO GM-GLOBAL (BONO SOLIDARIO COMPARTIDO)</v>
      </c>
    </row>
    <row r="48" spans="1:14" hidden="1">
      <c r="A48" s="81" t="s">
        <v>61</v>
      </c>
      <c r="B48" s="76" t="s">
        <v>95</v>
      </c>
      <c r="C48" s="17" t="s">
        <v>183</v>
      </c>
      <c r="D48" s="116">
        <v>0</v>
      </c>
      <c r="E48" s="116">
        <v>38.840000000000003</v>
      </c>
      <c r="F48" s="116">
        <v>67.97</v>
      </c>
      <c r="G48" s="116">
        <v>-29.13</v>
      </c>
      <c r="H48" s="212">
        <f t="shared" si="1"/>
        <v>-29.13</v>
      </c>
      <c r="I48" s="176" t="str">
        <f t="shared" si="2"/>
        <v>BONO SOLIDARIO</v>
      </c>
    </row>
    <row r="49" spans="1:9" hidden="1">
      <c r="A49" s="81" t="s">
        <v>78</v>
      </c>
      <c r="B49" s="76" t="s">
        <v>87</v>
      </c>
      <c r="C49" s="17" t="s">
        <v>184</v>
      </c>
      <c r="D49" s="116">
        <v>0</v>
      </c>
      <c r="E49" s="116">
        <v>54.36</v>
      </c>
      <c r="F49" s="116">
        <v>0</v>
      </c>
      <c r="G49" s="116">
        <v>54.36</v>
      </c>
      <c r="H49" s="212">
        <f t="shared" si="1"/>
        <v>54.36</v>
      </c>
      <c r="I49" s="176" t="str">
        <f t="shared" si="2"/>
        <v>BONO ESTUDIANTE GM-GLOBAL (BONO ESTUDIANTE COMPARTIDO)</v>
      </c>
    </row>
    <row r="50" spans="1:9" hidden="1">
      <c r="A50" s="75" t="s">
        <v>62</v>
      </c>
      <c r="B50" s="76" t="s">
        <v>86</v>
      </c>
      <c r="C50" s="17" t="s">
        <v>185</v>
      </c>
      <c r="D50" s="116">
        <v>0</v>
      </c>
      <c r="E50" s="116">
        <v>0</v>
      </c>
      <c r="F50" s="116">
        <v>81.540000000000006</v>
      </c>
      <c r="G50" s="116">
        <v>-81.540000000000006</v>
      </c>
      <c r="H50" s="212">
        <f t="shared" si="1"/>
        <v>-81.540000000000006</v>
      </c>
      <c r="I50" s="176" t="str">
        <f t="shared" si="2"/>
        <v>BONO ESTUDIANTE</v>
      </c>
    </row>
    <row r="51" spans="1:9" hidden="1">
      <c r="A51" s="81" t="s">
        <v>82</v>
      </c>
      <c r="B51" s="76" t="s">
        <v>96</v>
      </c>
      <c r="C51" s="17" t="s">
        <v>186</v>
      </c>
      <c r="D51" s="116">
        <v>0</v>
      </c>
      <c r="E51" s="116">
        <v>0</v>
      </c>
      <c r="F51" s="116">
        <v>9.7100000000000009</v>
      </c>
      <c r="G51" s="116">
        <v>-9.7100000000000009</v>
      </c>
      <c r="H51" s="212">
        <f t="shared" si="1"/>
        <v>-9.7100000000000009</v>
      </c>
      <c r="I51" s="176" t="str">
        <f t="shared" si="2"/>
        <v>BONO SOLIDARIO GM-GLOBAL (BONO SOLIDARIO COMPARTIDO)</v>
      </c>
    </row>
    <row r="52" spans="1:9" hidden="1">
      <c r="A52" s="75" t="s">
        <v>59</v>
      </c>
      <c r="B52" s="76" t="s">
        <v>88</v>
      </c>
      <c r="C52" s="17" t="s">
        <v>187</v>
      </c>
      <c r="D52" s="116">
        <v>0</v>
      </c>
      <c r="E52" s="116">
        <v>0</v>
      </c>
      <c r="F52" s="116">
        <v>122.34</v>
      </c>
      <c r="G52" s="116">
        <v>-122.34</v>
      </c>
      <c r="H52" s="212">
        <f t="shared" si="1"/>
        <v>-122.34</v>
      </c>
      <c r="I52" s="176" t="str">
        <f t="shared" si="2"/>
        <v>BONO FACIL</v>
      </c>
    </row>
    <row r="53" spans="1:9" hidden="1">
      <c r="A53" s="81" t="s">
        <v>61</v>
      </c>
      <c r="B53" s="76" t="s">
        <v>95</v>
      </c>
      <c r="C53" s="17" t="s">
        <v>188</v>
      </c>
      <c r="D53" s="116">
        <v>0</v>
      </c>
      <c r="E53" s="116">
        <v>48.55</v>
      </c>
      <c r="F53" s="116">
        <v>19.420000000000002</v>
      </c>
      <c r="G53" s="116">
        <v>29.13</v>
      </c>
      <c r="H53" s="212">
        <f t="shared" si="1"/>
        <v>29.13</v>
      </c>
      <c r="I53" s="176" t="str">
        <f t="shared" si="2"/>
        <v>BONO SOLIDARIO</v>
      </c>
    </row>
    <row r="54" spans="1:9" hidden="1">
      <c r="A54" s="81" t="s">
        <v>82</v>
      </c>
      <c r="B54" s="76" t="s">
        <v>96</v>
      </c>
      <c r="C54" s="17" t="s">
        <v>189</v>
      </c>
      <c r="D54" s="116">
        <v>0</v>
      </c>
      <c r="E54" s="116">
        <v>0</v>
      </c>
      <c r="F54" s="116">
        <v>19.420000000000002</v>
      </c>
      <c r="G54" s="116">
        <v>-19.420000000000002</v>
      </c>
      <c r="H54" s="212">
        <f t="shared" si="1"/>
        <v>-19.420000000000002</v>
      </c>
      <c r="I54" s="176" t="str">
        <f t="shared" si="2"/>
        <v>BONO SOLIDARIO GM-GLOBAL (BONO SOLIDARIO COMPARTIDO)</v>
      </c>
    </row>
    <row r="55" spans="1:9" hidden="1">
      <c r="A55" s="75" t="s">
        <v>62</v>
      </c>
      <c r="B55" s="76" t="s">
        <v>86</v>
      </c>
      <c r="C55" s="17" t="s">
        <v>190</v>
      </c>
      <c r="D55" s="116">
        <v>0</v>
      </c>
      <c r="E55" s="116">
        <v>27.18</v>
      </c>
      <c r="F55" s="116">
        <v>0</v>
      </c>
      <c r="G55" s="116">
        <v>27.18</v>
      </c>
      <c r="H55" s="212">
        <f t="shared" si="1"/>
        <v>27.18</v>
      </c>
      <c r="I55" s="176" t="str">
        <f t="shared" si="2"/>
        <v>BONO ESTUDIANTE</v>
      </c>
    </row>
    <row r="56" spans="1:9" hidden="1">
      <c r="A56" s="81" t="s">
        <v>78</v>
      </c>
      <c r="B56" s="76" t="s">
        <v>87</v>
      </c>
      <c r="C56" s="17" t="s">
        <v>191</v>
      </c>
      <c r="D56" s="116">
        <v>0</v>
      </c>
      <c r="E56" s="116">
        <v>0</v>
      </c>
      <c r="F56" s="116">
        <v>27.18</v>
      </c>
      <c r="G56" s="116">
        <v>-27.18</v>
      </c>
      <c r="H56" s="212">
        <f t="shared" si="1"/>
        <v>-27.18</v>
      </c>
      <c r="I56" s="176" t="str">
        <f t="shared" si="2"/>
        <v>BONO ESTUDIANTE GM-GLOBAL (BONO ESTUDIANTE COMPARTIDO)</v>
      </c>
    </row>
    <row r="57" spans="1:9" hidden="1">
      <c r="A57" s="165" t="s">
        <v>265</v>
      </c>
      <c r="B57" s="165" t="s">
        <v>265</v>
      </c>
      <c r="C57" s="17" t="s">
        <v>192</v>
      </c>
      <c r="D57" s="116">
        <v>0</v>
      </c>
      <c r="E57" s="116">
        <v>0</v>
      </c>
      <c r="F57" s="116">
        <v>0.01</v>
      </c>
      <c r="G57" s="116">
        <v>-0.01</v>
      </c>
      <c r="H57" s="212">
        <f t="shared" si="1"/>
        <v>-0.01</v>
      </c>
      <c r="I57" s="176" t="str">
        <f t="shared" si="2"/>
        <v>Otros Ingresos</v>
      </c>
    </row>
    <row r="58" spans="1:9" hidden="1">
      <c r="A58" s="75" t="s">
        <v>71</v>
      </c>
      <c r="B58" s="76" t="s">
        <v>97</v>
      </c>
      <c r="C58" s="17" t="s">
        <v>193</v>
      </c>
      <c r="D58" s="116">
        <v>0</v>
      </c>
      <c r="E58" s="116">
        <v>0</v>
      </c>
      <c r="F58" s="116">
        <v>15272.04</v>
      </c>
      <c r="G58" s="116">
        <v>-15272.04</v>
      </c>
      <c r="H58" s="212">
        <f t="shared" si="1"/>
        <v>-15272.04</v>
      </c>
      <c r="I58" s="176" t="str">
        <f t="shared" si="2"/>
        <v>GUAGUA AMARILLA</v>
      </c>
    </row>
    <row r="59" spans="1:9" hidden="1">
      <c r="A59" s="73" t="s">
        <v>58</v>
      </c>
      <c r="B59" s="74" t="s">
        <v>83</v>
      </c>
      <c r="C59" s="17" t="s">
        <v>194</v>
      </c>
      <c r="D59" s="116">
        <v>0</v>
      </c>
      <c r="E59" s="116">
        <v>0</v>
      </c>
      <c r="F59" s="116">
        <v>4483273.01</v>
      </c>
      <c r="G59" s="116">
        <v>-4483273.01</v>
      </c>
      <c r="H59" s="212">
        <f t="shared" si="1"/>
        <v>-4483273.01</v>
      </c>
      <c r="I59" s="176" t="str">
        <f t="shared" si="2"/>
        <v>PAGO DIRECTO</v>
      </c>
    </row>
    <row r="60" spans="1:9" hidden="1">
      <c r="A60" s="75" t="s">
        <v>64</v>
      </c>
      <c r="B60" s="76" t="s">
        <v>100</v>
      </c>
      <c r="C60" s="17" t="s">
        <v>195</v>
      </c>
      <c r="D60" s="116">
        <v>0</v>
      </c>
      <c r="E60" s="116">
        <v>0</v>
      </c>
      <c r="F60" s="116">
        <v>148783.31</v>
      </c>
      <c r="G60" s="116">
        <v>-148783.31</v>
      </c>
      <c r="H60" s="212">
        <f t="shared" si="1"/>
        <v>-148783.31</v>
      </c>
      <c r="I60" s="176" t="str">
        <f t="shared" si="2"/>
        <v>TRANSGRANCANARIA</v>
      </c>
    </row>
    <row r="61" spans="1:9" hidden="1">
      <c r="A61" s="165" t="s">
        <v>265</v>
      </c>
      <c r="B61" s="165" t="s">
        <v>265</v>
      </c>
      <c r="C61" s="17" t="s">
        <v>196</v>
      </c>
      <c r="D61" s="116">
        <v>0</v>
      </c>
      <c r="E61" s="116">
        <v>0</v>
      </c>
      <c r="F61" s="116">
        <v>4.7</v>
      </c>
      <c r="G61" s="116">
        <v>-4.7</v>
      </c>
      <c r="H61" s="212">
        <f t="shared" si="1"/>
        <v>-4.7</v>
      </c>
      <c r="I61" s="176" t="str">
        <f t="shared" si="2"/>
        <v>Otros Ingresos</v>
      </c>
    </row>
    <row r="62" spans="1:9" hidden="1">
      <c r="A62" s="165" t="s">
        <v>265</v>
      </c>
      <c r="B62" s="165" t="s">
        <v>265</v>
      </c>
      <c r="C62" s="17" t="s">
        <v>197</v>
      </c>
      <c r="D62" s="116">
        <v>0</v>
      </c>
      <c r="E62" s="116">
        <v>0</v>
      </c>
      <c r="F62" s="116">
        <v>0.38</v>
      </c>
      <c r="G62" s="116">
        <v>-0.38</v>
      </c>
      <c r="H62" s="212">
        <f t="shared" si="1"/>
        <v>-0.38</v>
      </c>
      <c r="I62" s="176" t="str">
        <f t="shared" si="2"/>
        <v>Otros Ingresos</v>
      </c>
    </row>
    <row r="63" spans="1:9" hidden="1">
      <c r="A63" s="165" t="s">
        <v>265</v>
      </c>
      <c r="B63" s="165" t="s">
        <v>265</v>
      </c>
      <c r="C63" s="17" t="s">
        <v>198</v>
      </c>
      <c r="D63" s="116">
        <v>0</v>
      </c>
      <c r="E63" s="116">
        <v>0</v>
      </c>
      <c r="F63" s="116">
        <v>0.03</v>
      </c>
      <c r="G63" s="116">
        <v>-0.03</v>
      </c>
      <c r="H63" s="212">
        <f t="shared" si="1"/>
        <v>-0.03</v>
      </c>
      <c r="I63" s="176" t="str">
        <f t="shared" si="2"/>
        <v>Otros Ingresos</v>
      </c>
    </row>
    <row r="64" spans="1:9" hidden="1">
      <c r="A64" s="165" t="s">
        <v>265</v>
      </c>
      <c r="B64" s="165" t="s">
        <v>265</v>
      </c>
      <c r="C64" s="17" t="s">
        <v>199</v>
      </c>
      <c r="D64" s="116">
        <v>0</v>
      </c>
      <c r="E64" s="116">
        <v>0</v>
      </c>
      <c r="F64" s="116">
        <v>0.02</v>
      </c>
      <c r="G64" s="116">
        <v>-0.02</v>
      </c>
      <c r="H64" s="212">
        <f t="shared" si="1"/>
        <v>-0.02</v>
      </c>
      <c r="I64" s="176" t="str">
        <f t="shared" si="2"/>
        <v>Otros Ingresos</v>
      </c>
    </row>
    <row r="65" spans="1:9" hidden="1">
      <c r="A65" s="165" t="s">
        <v>265</v>
      </c>
      <c r="B65" s="165" t="s">
        <v>265</v>
      </c>
      <c r="C65" s="17" t="s">
        <v>200</v>
      </c>
      <c r="D65" s="116">
        <v>0</v>
      </c>
      <c r="E65" s="116">
        <v>0</v>
      </c>
      <c r="F65" s="116">
        <v>0.94</v>
      </c>
      <c r="G65" s="116">
        <v>-0.94</v>
      </c>
      <c r="H65" s="212">
        <f t="shared" si="1"/>
        <v>-0.94</v>
      </c>
      <c r="I65" s="176" t="str">
        <f t="shared" si="2"/>
        <v>Otros Ingresos</v>
      </c>
    </row>
    <row r="66" spans="1:9" hidden="1">
      <c r="A66" s="167" t="s">
        <v>267</v>
      </c>
      <c r="B66" s="168" t="s">
        <v>267</v>
      </c>
      <c r="C66" s="17" t="s">
        <v>201</v>
      </c>
      <c r="D66" s="116">
        <v>0</v>
      </c>
      <c r="E66" s="116">
        <v>28.14</v>
      </c>
      <c r="F66" s="116">
        <v>9.3800000000000008</v>
      </c>
      <c r="G66" s="116">
        <v>18.760000000000002</v>
      </c>
      <c r="H66" s="212">
        <f t="shared" si="1"/>
        <v>18.760000000000002</v>
      </c>
      <c r="I66" s="176" t="e">
        <f t="shared" si="2"/>
        <v>#N/A</v>
      </c>
    </row>
    <row r="67" spans="1:9" hidden="1">
      <c r="A67" s="75" t="s">
        <v>70</v>
      </c>
      <c r="B67" s="82" t="s">
        <v>70</v>
      </c>
      <c r="C67" s="17" t="s">
        <v>202</v>
      </c>
      <c r="D67" s="116">
        <v>0</v>
      </c>
      <c r="E67" s="116">
        <v>0</v>
      </c>
      <c r="F67" s="116">
        <v>7615.53</v>
      </c>
      <c r="G67" s="116">
        <v>-7615.53</v>
      </c>
      <c r="H67" s="212">
        <f t="shared" si="1"/>
        <v>-7615.53</v>
      </c>
      <c r="I67" s="176" t="str">
        <f t="shared" si="2"/>
        <v>BONO 2 VIAJES</v>
      </c>
    </row>
    <row r="68" spans="1:9" hidden="1">
      <c r="A68" s="75" t="s">
        <v>70</v>
      </c>
      <c r="B68" s="82" t="s">
        <v>70</v>
      </c>
      <c r="C68" s="17" t="s">
        <v>203</v>
      </c>
      <c r="D68" s="116">
        <v>0</v>
      </c>
      <c r="E68" s="116">
        <v>19497.82</v>
      </c>
      <c r="F68" s="116">
        <v>22278.28</v>
      </c>
      <c r="G68" s="116">
        <v>-2780.46</v>
      </c>
      <c r="H68" s="212">
        <f>G68-19176.27</f>
        <v>-21956.73</v>
      </c>
      <c r="I68" s="176" t="str">
        <f t="shared" si="2"/>
        <v>BONO 2 VIAJES</v>
      </c>
    </row>
    <row r="69" spans="1:9" hidden="1">
      <c r="A69" s="165" t="s">
        <v>265</v>
      </c>
      <c r="B69" s="165" t="s">
        <v>265</v>
      </c>
      <c r="C69" s="17" t="s">
        <v>204</v>
      </c>
      <c r="D69" s="116">
        <v>0</v>
      </c>
      <c r="E69" s="116">
        <v>0.94</v>
      </c>
      <c r="F69" s="116">
        <v>64.849999999999994</v>
      </c>
      <c r="G69" s="116">
        <v>-63.91</v>
      </c>
      <c r="H69" s="212">
        <f t="shared" si="1"/>
        <v>-63.91</v>
      </c>
      <c r="I69" s="176" t="str">
        <f t="shared" si="2"/>
        <v>Otros Ingresos</v>
      </c>
    </row>
    <row r="70" spans="1:9" hidden="1">
      <c r="A70" s="165" t="s">
        <v>265</v>
      </c>
      <c r="B70" s="165" t="s">
        <v>265</v>
      </c>
      <c r="C70" s="17" t="s">
        <v>205</v>
      </c>
      <c r="D70" s="116">
        <v>0</v>
      </c>
      <c r="E70" s="116">
        <v>0</v>
      </c>
      <c r="F70" s="116">
        <v>4.6900000000000004</v>
      </c>
      <c r="G70" s="116">
        <v>-4.6900000000000004</v>
      </c>
      <c r="H70" s="212">
        <f t="shared" si="1"/>
        <v>-4.6900000000000004</v>
      </c>
      <c r="I70" s="176" t="str">
        <f t="shared" si="2"/>
        <v>Otros Ingresos</v>
      </c>
    </row>
    <row r="71" spans="1:9" hidden="1">
      <c r="A71" s="165" t="s">
        <v>265</v>
      </c>
      <c r="B71" s="165" t="s">
        <v>265</v>
      </c>
      <c r="C71" s="17" t="s">
        <v>206</v>
      </c>
      <c r="D71" s="116">
        <v>0</v>
      </c>
      <c r="E71" s="116">
        <v>0</v>
      </c>
      <c r="F71" s="116">
        <v>72.8</v>
      </c>
      <c r="G71" s="116">
        <v>-72.8</v>
      </c>
      <c r="H71" s="212">
        <f t="shared" ref="H71:H122" si="3">G71</f>
        <v>-72.8</v>
      </c>
      <c r="I71" s="176" t="str">
        <f t="shared" ref="I71:I123" si="4">VLOOKUP(A71,L:M,2,FALSE)</f>
        <v>Otros Ingresos</v>
      </c>
    </row>
    <row r="72" spans="1:9" hidden="1">
      <c r="A72" s="167" t="s">
        <v>77</v>
      </c>
      <c r="B72" s="168" t="s">
        <v>77</v>
      </c>
      <c r="C72" s="17" t="s">
        <v>207</v>
      </c>
      <c r="D72" s="116">
        <v>0</v>
      </c>
      <c r="E72" s="116">
        <v>82442.61</v>
      </c>
      <c r="F72" s="116">
        <v>0</v>
      </c>
      <c r="G72" s="116">
        <v>82442.61</v>
      </c>
      <c r="H72" s="213"/>
      <c r="I72" s="176" t="str">
        <f t="shared" si="4"/>
        <v>BONO RESIDENTE CANARIO</v>
      </c>
    </row>
    <row r="73" spans="1:9">
      <c r="A73" s="75" t="s">
        <v>65</v>
      </c>
      <c r="B73" s="76" t="s">
        <v>84</v>
      </c>
      <c r="C73" s="17" t="s">
        <v>208</v>
      </c>
      <c r="D73" s="116">
        <v>0</v>
      </c>
      <c r="E73" s="116">
        <v>0</v>
      </c>
      <c r="F73" s="116">
        <v>6685490.1399999997</v>
      </c>
      <c r="G73" s="116">
        <v>-6685490.1399999997</v>
      </c>
      <c r="H73" s="212">
        <f t="shared" si="3"/>
        <v>-6685490.1399999997</v>
      </c>
      <c r="I73" s="176" t="str">
        <f t="shared" si="4"/>
        <v>LPA MOVILIDAD (BONO GUAGUA SIN CONTACTO)</v>
      </c>
    </row>
    <row r="74" spans="1:9">
      <c r="A74" s="167" t="s">
        <v>76</v>
      </c>
      <c r="B74" s="168" t="s">
        <v>102</v>
      </c>
      <c r="C74" s="17" t="s">
        <v>209</v>
      </c>
      <c r="D74" s="116">
        <v>0</v>
      </c>
      <c r="E74" s="116">
        <v>1070727.7</v>
      </c>
      <c r="F74" s="116">
        <v>340009.1</v>
      </c>
      <c r="G74" s="116">
        <v>730718.6</v>
      </c>
      <c r="H74" s="213"/>
      <c r="I74" s="176" t="str">
        <f t="shared" si="4"/>
        <v xml:space="preserve"> BONO GRAN CANARIA-WAWA JOVEN (TARJETA WAWA JOVEN)</v>
      </c>
    </row>
    <row r="75" spans="1:9" hidden="1">
      <c r="A75" s="167" t="s">
        <v>267</v>
      </c>
      <c r="B75" s="168" t="s">
        <v>267</v>
      </c>
      <c r="C75" s="17" t="s">
        <v>210</v>
      </c>
      <c r="D75" s="116">
        <v>0</v>
      </c>
      <c r="E75" s="116">
        <v>23613.96</v>
      </c>
      <c r="F75" s="116">
        <v>64.599999999999994</v>
      </c>
      <c r="G75" s="116">
        <v>23549.360000000001</v>
      </c>
      <c r="H75" s="212">
        <f t="shared" si="3"/>
        <v>23549.360000000001</v>
      </c>
      <c r="I75" s="176" t="e">
        <f t="shared" si="4"/>
        <v>#N/A</v>
      </c>
    </row>
    <row r="76" spans="1:9" hidden="1">
      <c r="A76" s="201" t="s">
        <v>101</v>
      </c>
      <c r="B76" s="202" t="s">
        <v>101</v>
      </c>
      <c r="C76" s="17" t="s">
        <v>211</v>
      </c>
      <c r="D76" s="116">
        <v>0</v>
      </c>
      <c r="E76" s="116">
        <v>4549.3999999999996</v>
      </c>
      <c r="F76" s="116">
        <v>65.63</v>
      </c>
      <c r="G76" s="116">
        <v>4483.7700000000004</v>
      </c>
      <c r="H76" s="212">
        <f t="shared" si="3"/>
        <v>4483.7700000000004</v>
      </c>
      <c r="I76" s="176" t="str">
        <f t="shared" si="4"/>
        <v>INGRESOS POR VENTAS DE CARNETS</v>
      </c>
    </row>
    <row r="77" spans="1:9" hidden="1">
      <c r="A77" s="201" t="s">
        <v>101</v>
      </c>
      <c r="B77" s="202" t="s">
        <v>101</v>
      </c>
      <c r="C77" s="17" t="s">
        <v>212</v>
      </c>
      <c r="D77" s="116">
        <v>0</v>
      </c>
      <c r="E77" s="116">
        <v>39.479999999999997</v>
      </c>
      <c r="F77" s="116">
        <v>1989.51</v>
      </c>
      <c r="G77" s="116">
        <v>-1950.03</v>
      </c>
      <c r="H77" s="212">
        <f t="shared" si="3"/>
        <v>-1950.03</v>
      </c>
      <c r="I77" s="176" t="str">
        <f t="shared" si="4"/>
        <v>INGRESOS POR VENTAS DE CARNETS</v>
      </c>
    </row>
    <row r="78" spans="1:9" hidden="1">
      <c r="A78" s="201" t="s">
        <v>101</v>
      </c>
      <c r="B78" s="202" t="s">
        <v>101</v>
      </c>
      <c r="C78" s="17" t="s">
        <v>213</v>
      </c>
      <c r="D78" s="116">
        <v>0</v>
      </c>
      <c r="E78" s="116">
        <v>126.76</v>
      </c>
      <c r="F78" s="116">
        <v>126.66</v>
      </c>
      <c r="G78" s="116">
        <v>0.1</v>
      </c>
      <c r="H78" s="212">
        <f t="shared" si="3"/>
        <v>0.1</v>
      </c>
      <c r="I78" s="176" t="str">
        <f t="shared" si="4"/>
        <v>INGRESOS POR VENTAS DE CARNETS</v>
      </c>
    </row>
    <row r="79" spans="1:9" hidden="1">
      <c r="A79" s="201" t="s">
        <v>101</v>
      </c>
      <c r="B79" s="202" t="s">
        <v>101</v>
      </c>
      <c r="C79" s="17" t="s">
        <v>214</v>
      </c>
      <c r="D79" s="116">
        <v>0</v>
      </c>
      <c r="E79" s="116">
        <v>13751.14</v>
      </c>
      <c r="F79" s="116">
        <v>24940.63</v>
      </c>
      <c r="G79" s="116">
        <v>-11189.49</v>
      </c>
      <c r="H79" s="212">
        <f t="shared" si="3"/>
        <v>-11189.49</v>
      </c>
      <c r="I79" s="176" t="str">
        <f t="shared" si="4"/>
        <v>INGRESOS POR VENTAS DE CARNETS</v>
      </c>
    </row>
    <row r="80" spans="1:9" hidden="1">
      <c r="A80" s="201" t="s">
        <v>101</v>
      </c>
      <c r="B80" s="202" t="s">
        <v>101</v>
      </c>
      <c r="C80" s="17" t="s">
        <v>215</v>
      </c>
      <c r="D80" s="116">
        <v>0</v>
      </c>
      <c r="E80" s="116">
        <v>107.87</v>
      </c>
      <c r="F80" s="116">
        <v>17822.29</v>
      </c>
      <c r="G80" s="116">
        <v>-17714.419999999998</v>
      </c>
      <c r="H80" s="212">
        <f t="shared" si="3"/>
        <v>-17714.419999999998</v>
      </c>
      <c r="I80" s="176" t="str">
        <f t="shared" si="4"/>
        <v>INGRESOS POR VENTAS DE CARNETS</v>
      </c>
    </row>
    <row r="81" spans="1:9" hidden="1">
      <c r="A81" s="201" t="s">
        <v>101</v>
      </c>
      <c r="B81" s="202" t="s">
        <v>101</v>
      </c>
      <c r="C81" s="17" t="s">
        <v>216</v>
      </c>
      <c r="D81" s="116">
        <v>0</v>
      </c>
      <c r="E81" s="116">
        <v>14.07</v>
      </c>
      <c r="F81" s="116">
        <v>1552.39</v>
      </c>
      <c r="G81" s="116">
        <v>-1538.32</v>
      </c>
      <c r="H81" s="212">
        <f t="shared" si="3"/>
        <v>-1538.32</v>
      </c>
      <c r="I81" s="176" t="str">
        <f t="shared" si="4"/>
        <v>INGRESOS POR VENTAS DE CARNETS</v>
      </c>
    </row>
    <row r="82" spans="1:9" hidden="1">
      <c r="A82" s="201" t="s">
        <v>101</v>
      </c>
      <c r="B82" s="202" t="s">
        <v>101</v>
      </c>
      <c r="C82" s="17" t="s">
        <v>217</v>
      </c>
      <c r="D82" s="116">
        <v>0</v>
      </c>
      <c r="E82" s="116">
        <v>0</v>
      </c>
      <c r="F82" s="116">
        <v>28.14</v>
      </c>
      <c r="G82" s="116">
        <v>-28.14</v>
      </c>
      <c r="H82" s="212">
        <f t="shared" si="3"/>
        <v>-28.14</v>
      </c>
      <c r="I82" s="176" t="str">
        <f t="shared" si="4"/>
        <v>INGRESOS POR VENTAS DE CARNETS</v>
      </c>
    </row>
    <row r="83" spans="1:9" hidden="1">
      <c r="A83" s="201" t="s">
        <v>101</v>
      </c>
      <c r="B83" s="202" t="s">
        <v>101</v>
      </c>
      <c r="C83" s="17" t="s">
        <v>218</v>
      </c>
      <c r="D83" s="116">
        <v>0</v>
      </c>
      <c r="E83" s="116">
        <v>14.07</v>
      </c>
      <c r="F83" s="116">
        <v>1543.01</v>
      </c>
      <c r="G83" s="116">
        <v>-1528.94</v>
      </c>
      <c r="H83" s="212">
        <f t="shared" si="3"/>
        <v>-1528.94</v>
      </c>
      <c r="I83" s="176" t="str">
        <f t="shared" si="4"/>
        <v>INGRESOS POR VENTAS DE CARNETS</v>
      </c>
    </row>
    <row r="84" spans="1:9" hidden="1">
      <c r="A84" s="201" t="s">
        <v>101</v>
      </c>
      <c r="B84" s="202" t="s">
        <v>101</v>
      </c>
      <c r="C84" s="17" t="s">
        <v>219</v>
      </c>
      <c r="D84" s="116">
        <v>0</v>
      </c>
      <c r="E84" s="116">
        <v>4.6900000000000004</v>
      </c>
      <c r="F84" s="116">
        <v>248.57</v>
      </c>
      <c r="G84" s="116">
        <v>-243.88</v>
      </c>
      <c r="H84" s="212">
        <f t="shared" si="3"/>
        <v>-243.88</v>
      </c>
      <c r="I84" s="176" t="str">
        <f t="shared" si="4"/>
        <v>INGRESOS POR VENTAS DE CARNETS</v>
      </c>
    </row>
    <row r="85" spans="1:9" hidden="1">
      <c r="A85" s="201" t="s">
        <v>101</v>
      </c>
      <c r="B85" s="202" t="s">
        <v>101</v>
      </c>
      <c r="C85" s="17" t="s">
        <v>220</v>
      </c>
      <c r="D85" s="116">
        <v>0</v>
      </c>
      <c r="E85" s="116">
        <v>93.86</v>
      </c>
      <c r="F85" s="116">
        <v>5796.84</v>
      </c>
      <c r="G85" s="116">
        <v>-5702.98</v>
      </c>
      <c r="H85" s="212">
        <f t="shared" si="3"/>
        <v>-5702.98</v>
      </c>
      <c r="I85" s="176" t="str">
        <f t="shared" si="4"/>
        <v>INGRESOS POR VENTAS DE CARNETS</v>
      </c>
    </row>
    <row r="86" spans="1:9" hidden="1">
      <c r="A86" s="201" t="s">
        <v>101</v>
      </c>
      <c r="B86" s="202" t="s">
        <v>101</v>
      </c>
      <c r="C86" s="17" t="s">
        <v>221</v>
      </c>
      <c r="D86" s="116">
        <v>0</v>
      </c>
      <c r="E86" s="116">
        <v>14.07</v>
      </c>
      <c r="F86" s="116">
        <v>501.83</v>
      </c>
      <c r="G86" s="116">
        <v>-487.76</v>
      </c>
      <c r="H86" s="212">
        <f t="shared" si="3"/>
        <v>-487.76</v>
      </c>
      <c r="I86" s="176" t="str">
        <f t="shared" si="4"/>
        <v>INGRESOS POR VENTAS DE CARNETS</v>
      </c>
    </row>
    <row r="87" spans="1:9" hidden="1">
      <c r="A87" s="201" t="s">
        <v>101</v>
      </c>
      <c r="B87" s="202" t="s">
        <v>101</v>
      </c>
      <c r="C87" s="17" t="s">
        <v>222</v>
      </c>
      <c r="D87" s="116">
        <v>0</v>
      </c>
      <c r="E87" s="116">
        <v>51.59</v>
      </c>
      <c r="F87" s="116">
        <v>11504.58</v>
      </c>
      <c r="G87" s="116">
        <v>-11452.99</v>
      </c>
      <c r="H87" s="212">
        <f t="shared" si="3"/>
        <v>-11452.99</v>
      </c>
      <c r="I87" s="176" t="str">
        <f t="shared" si="4"/>
        <v>INGRESOS POR VENTAS DE CARNETS</v>
      </c>
    </row>
    <row r="88" spans="1:9" hidden="1">
      <c r="A88" s="201" t="s">
        <v>101</v>
      </c>
      <c r="B88" s="202" t="s">
        <v>101</v>
      </c>
      <c r="C88" s="17" t="s">
        <v>223</v>
      </c>
      <c r="D88" s="116">
        <v>0</v>
      </c>
      <c r="E88" s="116">
        <v>0</v>
      </c>
      <c r="F88" s="116">
        <v>529.97</v>
      </c>
      <c r="G88" s="116">
        <v>-529.97</v>
      </c>
      <c r="H88" s="212">
        <f t="shared" si="3"/>
        <v>-529.97</v>
      </c>
      <c r="I88" s="176" t="str">
        <f t="shared" si="4"/>
        <v>INGRESOS POR VENTAS DE CARNETS</v>
      </c>
    </row>
    <row r="89" spans="1:9" hidden="1">
      <c r="A89" s="201" t="s">
        <v>101</v>
      </c>
      <c r="B89" s="202" t="s">
        <v>101</v>
      </c>
      <c r="C89" s="17" t="s">
        <v>224</v>
      </c>
      <c r="D89" s="116">
        <v>0</v>
      </c>
      <c r="E89" s="116">
        <v>28.14</v>
      </c>
      <c r="F89" s="116">
        <v>1317.89</v>
      </c>
      <c r="G89" s="116">
        <v>-1289.75</v>
      </c>
      <c r="H89" s="212">
        <f t="shared" si="3"/>
        <v>-1289.75</v>
      </c>
      <c r="I89" s="176" t="str">
        <f t="shared" si="4"/>
        <v>INGRESOS POR VENTAS DE CARNETS</v>
      </c>
    </row>
    <row r="90" spans="1:9" hidden="1">
      <c r="A90" s="201" t="s">
        <v>101</v>
      </c>
      <c r="B90" s="202" t="s">
        <v>101</v>
      </c>
      <c r="C90" s="17" t="s">
        <v>225</v>
      </c>
      <c r="D90" s="116">
        <v>0</v>
      </c>
      <c r="E90" s="116">
        <v>11206.49</v>
      </c>
      <c r="F90" s="116">
        <v>11314.39</v>
      </c>
      <c r="G90" s="116">
        <v>-107.9</v>
      </c>
      <c r="H90" s="212">
        <f t="shared" si="3"/>
        <v>-107.9</v>
      </c>
      <c r="I90" s="176" t="str">
        <f t="shared" si="4"/>
        <v>INGRESOS POR VENTAS DE CARNETS</v>
      </c>
    </row>
    <row r="91" spans="1:9" hidden="1">
      <c r="A91" s="165" t="s">
        <v>265</v>
      </c>
      <c r="B91" s="165" t="s">
        <v>265</v>
      </c>
      <c r="C91" s="17" t="s">
        <v>226</v>
      </c>
      <c r="D91" s="116">
        <v>0</v>
      </c>
      <c r="E91" s="116">
        <v>0</v>
      </c>
      <c r="F91" s="116">
        <v>9.39</v>
      </c>
      <c r="G91" s="116">
        <v>-9.39</v>
      </c>
      <c r="H91" s="212">
        <f t="shared" si="3"/>
        <v>-9.39</v>
      </c>
      <c r="I91" s="176" t="str">
        <f t="shared" si="4"/>
        <v>Otros Ingresos</v>
      </c>
    </row>
    <row r="92" spans="1:9" hidden="1">
      <c r="A92" s="201" t="s">
        <v>101</v>
      </c>
      <c r="B92" s="202" t="s">
        <v>101</v>
      </c>
      <c r="C92" s="17" t="s">
        <v>227</v>
      </c>
      <c r="D92" s="116">
        <v>0</v>
      </c>
      <c r="E92" s="116">
        <v>0</v>
      </c>
      <c r="F92" s="116">
        <v>9.39</v>
      </c>
      <c r="G92" s="116">
        <v>-9.39</v>
      </c>
      <c r="H92" s="212">
        <f t="shared" si="3"/>
        <v>-9.39</v>
      </c>
      <c r="I92" s="176" t="str">
        <f t="shared" si="4"/>
        <v>INGRESOS POR VENTAS DE CARNETS</v>
      </c>
    </row>
    <row r="93" spans="1:9" hidden="1">
      <c r="A93" s="165" t="s">
        <v>265</v>
      </c>
      <c r="B93" s="165" t="s">
        <v>265</v>
      </c>
      <c r="C93" s="17" t="s">
        <v>228</v>
      </c>
      <c r="D93" s="116">
        <v>0</v>
      </c>
      <c r="E93" s="116">
        <v>0</v>
      </c>
      <c r="F93" s="116">
        <v>15.04</v>
      </c>
      <c r="G93" s="116">
        <v>-15.04</v>
      </c>
      <c r="H93" s="212">
        <f t="shared" si="3"/>
        <v>-15.04</v>
      </c>
      <c r="I93" s="176" t="str">
        <f t="shared" si="4"/>
        <v>Otros Ingresos</v>
      </c>
    </row>
    <row r="94" spans="1:9" hidden="1">
      <c r="A94" s="165" t="s">
        <v>265</v>
      </c>
      <c r="B94" s="165" t="s">
        <v>265</v>
      </c>
      <c r="C94" s="17" t="s">
        <v>229</v>
      </c>
      <c r="D94" s="116">
        <v>0</v>
      </c>
      <c r="E94" s="116">
        <v>9.83</v>
      </c>
      <c r="F94" s="116">
        <v>1836.41</v>
      </c>
      <c r="G94" s="116">
        <v>-1826.58</v>
      </c>
      <c r="H94" s="212">
        <f t="shared" si="3"/>
        <v>-1826.58</v>
      </c>
      <c r="I94" s="176" t="str">
        <f t="shared" si="4"/>
        <v>Otros Ingresos</v>
      </c>
    </row>
    <row r="95" spans="1:9" hidden="1">
      <c r="A95" s="165" t="s">
        <v>265</v>
      </c>
      <c r="B95" s="165" t="s">
        <v>265</v>
      </c>
      <c r="C95" s="17" t="s">
        <v>230</v>
      </c>
      <c r="D95" s="116">
        <v>0</v>
      </c>
      <c r="E95" s="116">
        <v>0</v>
      </c>
      <c r="F95" s="116">
        <v>5.62</v>
      </c>
      <c r="G95" s="116">
        <v>-5.62</v>
      </c>
      <c r="H95" s="212">
        <f t="shared" si="3"/>
        <v>-5.62</v>
      </c>
      <c r="I95" s="176" t="str">
        <f t="shared" si="4"/>
        <v>Otros Ingresos</v>
      </c>
    </row>
    <row r="96" spans="1:9" hidden="1">
      <c r="A96" s="165" t="s">
        <v>265</v>
      </c>
      <c r="B96" s="165" t="s">
        <v>265</v>
      </c>
      <c r="C96" s="17" t="s">
        <v>231</v>
      </c>
      <c r="D96" s="116">
        <v>0</v>
      </c>
      <c r="E96" s="116">
        <v>0</v>
      </c>
      <c r="F96" s="116">
        <v>13.16</v>
      </c>
      <c r="G96" s="116">
        <v>-13.16</v>
      </c>
      <c r="H96" s="212">
        <f t="shared" si="3"/>
        <v>-13.16</v>
      </c>
      <c r="I96" s="176" t="str">
        <f t="shared" si="4"/>
        <v>Otros Ingresos</v>
      </c>
    </row>
    <row r="97" spans="1:9" hidden="1">
      <c r="A97" s="165" t="s">
        <v>265</v>
      </c>
      <c r="B97" s="165" t="s">
        <v>265</v>
      </c>
      <c r="C97" s="17" t="s">
        <v>232</v>
      </c>
      <c r="D97" s="116">
        <v>0</v>
      </c>
      <c r="E97" s="116">
        <v>0</v>
      </c>
      <c r="F97" s="116">
        <v>1.88</v>
      </c>
      <c r="G97" s="116">
        <v>-1.88</v>
      </c>
      <c r="H97" s="212">
        <f t="shared" si="3"/>
        <v>-1.88</v>
      </c>
      <c r="I97" s="176" t="str">
        <f t="shared" si="4"/>
        <v>Otros Ingresos</v>
      </c>
    </row>
    <row r="98" spans="1:9" hidden="1">
      <c r="A98" s="165" t="s">
        <v>265</v>
      </c>
      <c r="B98" s="165" t="s">
        <v>265</v>
      </c>
      <c r="C98" s="17" t="s">
        <v>233</v>
      </c>
      <c r="D98" s="116">
        <v>0</v>
      </c>
      <c r="E98" s="116">
        <v>0</v>
      </c>
      <c r="F98" s="116">
        <v>253.52</v>
      </c>
      <c r="G98" s="116">
        <v>-253.52</v>
      </c>
      <c r="H98" s="212">
        <f t="shared" si="3"/>
        <v>-253.52</v>
      </c>
      <c r="I98" s="176" t="str">
        <f t="shared" si="4"/>
        <v>Otros Ingresos</v>
      </c>
    </row>
    <row r="99" spans="1:9" hidden="1">
      <c r="A99" s="165" t="s">
        <v>265</v>
      </c>
      <c r="B99" s="165" t="s">
        <v>265</v>
      </c>
      <c r="C99" s="17" t="s">
        <v>234</v>
      </c>
      <c r="D99" s="116">
        <v>0</v>
      </c>
      <c r="E99" s="116">
        <v>0</v>
      </c>
      <c r="F99" s="116">
        <v>95.73</v>
      </c>
      <c r="G99" s="116">
        <v>-95.73</v>
      </c>
      <c r="H99" s="212">
        <f t="shared" si="3"/>
        <v>-95.73</v>
      </c>
      <c r="I99" s="176" t="str">
        <f t="shared" si="4"/>
        <v>Otros Ingresos</v>
      </c>
    </row>
    <row r="100" spans="1:9" hidden="1">
      <c r="A100" s="167" t="s">
        <v>70</v>
      </c>
      <c r="B100" s="168" t="s">
        <v>70</v>
      </c>
      <c r="C100" s="203" t="s">
        <v>235</v>
      </c>
      <c r="D100" s="204">
        <v>0</v>
      </c>
      <c r="E100" s="204">
        <v>1507.72</v>
      </c>
      <c r="F100" s="204">
        <v>0</v>
      </c>
      <c r="G100" s="204">
        <v>1507.72</v>
      </c>
      <c r="H100" s="213"/>
      <c r="I100" s="176" t="str">
        <f t="shared" si="4"/>
        <v>BONO 2 VIAJES</v>
      </c>
    </row>
    <row r="101" spans="1:9" hidden="1">
      <c r="A101" s="75" t="s">
        <v>75</v>
      </c>
      <c r="B101" s="82" t="s">
        <v>103</v>
      </c>
      <c r="C101" s="17" t="s">
        <v>236</v>
      </c>
      <c r="D101" s="116">
        <v>0</v>
      </c>
      <c r="E101" s="116">
        <v>54.36</v>
      </c>
      <c r="F101" s="116">
        <v>4811.6899999999996</v>
      </c>
      <c r="G101" s="116">
        <v>-4757.33</v>
      </c>
      <c r="H101" s="212">
        <f t="shared" si="3"/>
        <v>-4757.33</v>
      </c>
      <c r="I101" s="176" t="str">
        <f t="shared" si="4"/>
        <v xml:space="preserve"> BONO ORO</v>
      </c>
    </row>
    <row r="102" spans="1:9" hidden="1">
      <c r="A102" s="75" t="s">
        <v>77</v>
      </c>
      <c r="B102" s="82" t="s">
        <v>77</v>
      </c>
      <c r="C102" s="17" t="s">
        <v>237</v>
      </c>
      <c r="D102" s="116">
        <v>0</v>
      </c>
      <c r="E102" s="116">
        <v>0</v>
      </c>
      <c r="F102" s="116">
        <v>996954.93</v>
      </c>
      <c r="G102" s="116">
        <v>-996954.93</v>
      </c>
      <c r="H102" s="212">
        <f t="shared" si="3"/>
        <v>-996954.93</v>
      </c>
      <c r="I102" s="176" t="str">
        <f t="shared" si="4"/>
        <v>BONO RESIDENTE CANARIO</v>
      </c>
    </row>
    <row r="103" spans="1:9" hidden="1">
      <c r="A103" s="167" t="s">
        <v>68</v>
      </c>
      <c r="B103" s="169" t="s">
        <v>93</v>
      </c>
      <c r="C103" s="203" t="s">
        <v>238</v>
      </c>
      <c r="D103" s="204">
        <v>0</v>
      </c>
      <c r="E103" s="204">
        <v>37538.86</v>
      </c>
      <c r="F103" s="204">
        <v>27115.56</v>
      </c>
      <c r="G103" s="204">
        <v>10423.299999999999</v>
      </c>
      <c r="H103" s="212">
        <f t="shared" si="3"/>
        <v>10423.299999999999</v>
      </c>
      <c r="I103" s="176" t="str">
        <f t="shared" si="4"/>
        <v>FAMILIA NUMEROSA ESPECIAL</v>
      </c>
    </row>
    <row r="104" spans="1:9" hidden="1">
      <c r="A104" s="167" t="s">
        <v>69</v>
      </c>
      <c r="B104" s="169" t="s">
        <v>91</v>
      </c>
      <c r="C104" s="203" t="s">
        <v>239</v>
      </c>
      <c r="D104" s="204">
        <v>0</v>
      </c>
      <c r="E104" s="204">
        <v>193115.31</v>
      </c>
      <c r="F104" s="204">
        <v>125691.69</v>
      </c>
      <c r="G104" s="204">
        <v>67423.62</v>
      </c>
      <c r="H104" s="212">
        <f t="shared" si="3"/>
        <v>67423.62</v>
      </c>
      <c r="I104" s="176" t="str">
        <f t="shared" si="4"/>
        <v>FAMILIA NUMEROSA GENERAL</v>
      </c>
    </row>
    <row r="105" spans="1:9">
      <c r="A105" s="75" t="s">
        <v>76</v>
      </c>
      <c r="B105" s="82" t="s">
        <v>102</v>
      </c>
      <c r="C105" s="17" t="s">
        <v>240</v>
      </c>
      <c r="D105" s="116">
        <v>0</v>
      </c>
      <c r="E105" s="116">
        <v>0</v>
      </c>
      <c r="F105" s="116">
        <v>1089767.76</v>
      </c>
      <c r="G105" s="116">
        <v>-1089767.76</v>
      </c>
      <c r="H105" s="212">
        <f t="shared" si="3"/>
        <v>-1089767.76</v>
      </c>
      <c r="I105" s="176" t="str">
        <f t="shared" si="4"/>
        <v xml:space="preserve"> BONO GRAN CANARIA-WAWA JOVEN (TARJETA WAWA JOVEN)</v>
      </c>
    </row>
    <row r="106" spans="1:9" hidden="1">
      <c r="A106" s="165" t="s">
        <v>265</v>
      </c>
      <c r="B106" s="165" t="s">
        <v>265</v>
      </c>
      <c r="C106" s="17" t="e">
        <f>-SOLICITUD BONO GUAGUAS-GLOBAL</f>
        <v>#NAME?</v>
      </c>
      <c r="D106" s="116">
        <v>0</v>
      </c>
      <c r="E106" s="116">
        <v>0</v>
      </c>
      <c r="F106" s="116">
        <v>1.41</v>
      </c>
      <c r="G106" s="116">
        <v>-1.41</v>
      </c>
      <c r="H106" s="212">
        <f t="shared" si="3"/>
        <v>-1.41</v>
      </c>
      <c r="I106" s="176" t="str">
        <f t="shared" si="4"/>
        <v>Otros Ingresos</v>
      </c>
    </row>
    <row r="107" spans="1:9" hidden="1">
      <c r="A107" s="201" t="s">
        <v>101</v>
      </c>
      <c r="B107" s="202" t="s">
        <v>101</v>
      </c>
      <c r="C107" s="17" t="s">
        <v>241</v>
      </c>
      <c r="D107" s="116">
        <v>0</v>
      </c>
      <c r="E107" s="116">
        <v>0</v>
      </c>
      <c r="F107" s="116">
        <v>42.21</v>
      </c>
      <c r="G107" s="116">
        <v>-42.21</v>
      </c>
      <c r="H107" s="212">
        <f t="shared" si="3"/>
        <v>-42.21</v>
      </c>
      <c r="I107" s="176" t="str">
        <f t="shared" si="4"/>
        <v>INGRESOS POR VENTAS DE CARNETS</v>
      </c>
    </row>
    <row r="108" spans="1:9" hidden="1">
      <c r="A108" s="201" t="s">
        <v>101</v>
      </c>
      <c r="B108" s="202" t="s">
        <v>101</v>
      </c>
      <c r="C108" s="17" t="s">
        <v>242</v>
      </c>
      <c r="D108" s="116">
        <v>0</v>
      </c>
      <c r="E108" s="116">
        <v>4.6900000000000004</v>
      </c>
      <c r="F108" s="116">
        <v>4.6900000000000004</v>
      </c>
      <c r="G108" s="116">
        <v>0</v>
      </c>
      <c r="H108" s="212">
        <f t="shared" si="3"/>
        <v>0</v>
      </c>
      <c r="I108" s="176" t="str">
        <f t="shared" si="4"/>
        <v>INGRESOS POR VENTAS DE CARNETS</v>
      </c>
    </row>
    <row r="109" spans="1:9" hidden="1">
      <c r="A109" s="201" t="s">
        <v>101</v>
      </c>
      <c r="B109" s="202" t="s">
        <v>101</v>
      </c>
      <c r="C109" s="17" t="s">
        <v>243</v>
      </c>
      <c r="D109" s="116">
        <v>0</v>
      </c>
      <c r="E109" s="116">
        <v>0</v>
      </c>
      <c r="F109" s="116">
        <v>32.83</v>
      </c>
      <c r="G109" s="116">
        <v>-32.83</v>
      </c>
      <c r="H109" s="212">
        <f t="shared" si="3"/>
        <v>-32.83</v>
      </c>
      <c r="I109" s="176" t="str">
        <f t="shared" si="4"/>
        <v>INGRESOS POR VENTAS DE CARNETS</v>
      </c>
    </row>
    <row r="110" spans="1:9" hidden="1">
      <c r="A110" s="201" t="s">
        <v>101</v>
      </c>
      <c r="B110" s="202" t="s">
        <v>101</v>
      </c>
      <c r="C110" s="17" t="s">
        <v>244</v>
      </c>
      <c r="D110" s="116">
        <v>0</v>
      </c>
      <c r="E110" s="116">
        <v>0</v>
      </c>
      <c r="F110" s="116">
        <v>9.3800000000000008</v>
      </c>
      <c r="G110" s="116">
        <v>-9.3800000000000008</v>
      </c>
      <c r="H110" s="212">
        <f t="shared" si="3"/>
        <v>-9.3800000000000008</v>
      </c>
      <c r="I110" s="176" t="str">
        <f t="shared" si="4"/>
        <v>INGRESOS POR VENTAS DE CARNETS</v>
      </c>
    </row>
    <row r="111" spans="1:9" hidden="1">
      <c r="A111" s="201" t="s">
        <v>101</v>
      </c>
      <c r="B111" s="202" t="s">
        <v>101</v>
      </c>
      <c r="C111" s="17" t="s">
        <v>245</v>
      </c>
      <c r="D111" s="116">
        <v>0</v>
      </c>
      <c r="E111" s="116">
        <v>225.52</v>
      </c>
      <c r="F111" s="116">
        <v>48810.21</v>
      </c>
      <c r="G111" s="116">
        <v>-48584.69</v>
      </c>
      <c r="H111" s="212">
        <f t="shared" si="3"/>
        <v>-48584.69</v>
      </c>
      <c r="I111" s="176" t="str">
        <f t="shared" si="4"/>
        <v>INGRESOS POR VENTAS DE CARNETS</v>
      </c>
    </row>
    <row r="112" spans="1:9" hidden="1">
      <c r="A112" s="166" t="s">
        <v>266</v>
      </c>
      <c r="B112" s="166" t="s">
        <v>266</v>
      </c>
      <c r="C112" s="17" t="s">
        <v>246</v>
      </c>
      <c r="D112" s="116">
        <v>0</v>
      </c>
      <c r="E112" s="116">
        <v>0</v>
      </c>
      <c r="F112" s="116">
        <v>97087.360000000001</v>
      </c>
      <c r="G112" s="116">
        <v>-97087.360000000001</v>
      </c>
      <c r="H112" s="212">
        <f t="shared" si="3"/>
        <v>-97087.360000000001</v>
      </c>
      <c r="I112" s="176" t="str">
        <f t="shared" si="4"/>
        <v>Subvenciones</v>
      </c>
    </row>
    <row r="113" spans="1:9" hidden="1">
      <c r="A113" s="166" t="s">
        <v>266</v>
      </c>
      <c r="B113" s="166" t="s">
        <v>266</v>
      </c>
      <c r="C113" s="17" t="s">
        <v>247</v>
      </c>
      <c r="D113" s="116">
        <v>0</v>
      </c>
      <c r="E113" s="116">
        <v>0</v>
      </c>
      <c r="F113" s="116">
        <v>1724944.03</v>
      </c>
      <c r="G113" s="116">
        <v>-1724944.03</v>
      </c>
      <c r="H113" s="212">
        <f t="shared" si="3"/>
        <v>-1724944.03</v>
      </c>
      <c r="I113" s="176" t="str">
        <f t="shared" si="4"/>
        <v>Subvenciones</v>
      </c>
    </row>
    <row r="114" spans="1:9" hidden="1">
      <c r="A114" s="166" t="s">
        <v>266</v>
      </c>
      <c r="B114" s="166" t="s">
        <v>266</v>
      </c>
      <c r="C114" s="17" t="s">
        <v>248</v>
      </c>
      <c r="D114" s="116">
        <v>0</v>
      </c>
      <c r="E114" s="116">
        <v>0</v>
      </c>
      <c r="F114" s="116">
        <v>554902.88</v>
      </c>
      <c r="G114" s="116">
        <v>-554902.88</v>
      </c>
      <c r="H114" s="212">
        <f t="shared" si="3"/>
        <v>-554902.88</v>
      </c>
      <c r="I114" s="176" t="str">
        <f t="shared" si="4"/>
        <v>Subvenciones</v>
      </c>
    </row>
    <row r="115" spans="1:9" hidden="1">
      <c r="A115" s="166" t="s">
        <v>266</v>
      </c>
      <c r="B115" s="166" t="s">
        <v>266</v>
      </c>
      <c r="C115" s="17" t="s">
        <v>249</v>
      </c>
      <c r="D115" s="116">
        <v>0</v>
      </c>
      <c r="E115" s="116">
        <v>0</v>
      </c>
      <c r="F115" s="116">
        <v>595687.80000000005</v>
      </c>
      <c r="G115" s="116">
        <v>-595687.80000000005</v>
      </c>
      <c r="H115" s="212">
        <f t="shared" si="3"/>
        <v>-595687.80000000005</v>
      </c>
      <c r="I115" s="176" t="str">
        <f t="shared" si="4"/>
        <v>Subvenciones</v>
      </c>
    </row>
    <row r="116" spans="1:9" hidden="1">
      <c r="A116" s="166" t="s">
        <v>266</v>
      </c>
      <c r="B116" s="166" t="s">
        <v>266</v>
      </c>
      <c r="C116" s="17" t="s">
        <v>250</v>
      </c>
      <c r="D116" s="116">
        <v>0</v>
      </c>
      <c r="E116" s="116">
        <v>277845.28000000003</v>
      </c>
      <c r="F116" s="116">
        <v>1746080.27</v>
      </c>
      <c r="G116" s="116">
        <v>-1468234.99</v>
      </c>
      <c r="H116" s="212">
        <f t="shared" si="3"/>
        <v>-1468234.99</v>
      </c>
      <c r="I116" s="176" t="str">
        <f t="shared" si="4"/>
        <v>Subvenciones</v>
      </c>
    </row>
    <row r="117" spans="1:9" hidden="1">
      <c r="A117" s="170" t="s">
        <v>266</v>
      </c>
      <c r="B117" s="171" t="s">
        <v>266</v>
      </c>
      <c r="C117" s="17" t="s">
        <v>251</v>
      </c>
      <c r="D117" s="116">
        <v>0</v>
      </c>
      <c r="E117" s="116">
        <v>0</v>
      </c>
      <c r="F117" s="116">
        <v>1183656.95</v>
      </c>
      <c r="G117" s="116">
        <v>-1183656.95</v>
      </c>
      <c r="H117" s="212">
        <f t="shared" si="3"/>
        <v>-1183656.95</v>
      </c>
      <c r="I117" s="176" t="str">
        <f t="shared" si="4"/>
        <v>Subvenciones</v>
      </c>
    </row>
    <row r="118" spans="1:9" hidden="1">
      <c r="A118" s="166" t="s">
        <v>266</v>
      </c>
      <c r="B118" s="166" t="s">
        <v>266</v>
      </c>
      <c r="C118" s="17" t="s">
        <v>252</v>
      </c>
      <c r="D118" s="116">
        <v>0</v>
      </c>
      <c r="E118" s="116">
        <v>0</v>
      </c>
      <c r="F118" s="116">
        <v>892405.14</v>
      </c>
      <c r="G118" s="116">
        <v>-892405.14</v>
      </c>
      <c r="H118" s="212">
        <f t="shared" si="3"/>
        <v>-892405.14</v>
      </c>
      <c r="I118" s="176" t="str">
        <f t="shared" si="4"/>
        <v>Subvenciones</v>
      </c>
    </row>
    <row r="119" spans="1:9" hidden="1">
      <c r="A119" s="75" t="s">
        <v>73</v>
      </c>
      <c r="B119" s="76" t="s">
        <v>98</v>
      </c>
      <c r="C119" s="17" t="s">
        <v>253</v>
      </c>
      <c r="D119" s="116">
        <v>0</v>
      </c>
      <c r="E119" s="116">
        <v>0</v>
      </c>
      <c r="F119" s="116">
        <v>931.86</v>
      </c>
      <c r="G119" s="116">
        <v>-931.86</v>
      </c>
      <c r="H119" s="212">
        <f t="shared" si="3"/>
        <v>-931.86</v>
      </c>
      <c r="I119" s="176" t="str">
        <f t="shared" si="4"/>
        <v>TARJETA TURISTICA (LIVE 1 DAY CARD)</v>
      </c>
    </row>
    <row r="120" spans="1:9" hidden="1">
      <c r="A120" s="75" t="s">
        <v>74</v>
      </c>
      <c r="B120" s="76" t="s">
        <v>99</v>
      </c>
      <c r="C120" s="17" t="s">
        <v>254</v>
      </c>
      <c r="D120" s="116">
        <v>0</v>
      </c>
      <c r="E120" s="116">
        <v>0</v>
      </c>
      <c r="F120" s="116">
        <v>1631.04</v>
      </c>
      <c r="G120" s="116">
        <v>-1631.04</v>
      </c>
      <c r="H120" s="212">
        <f t="shared" si="3"/>
        <v>-1631.04</v>
      </c>
      <c r="I120" s="176" t="str">
        <f t="shared" si="4"/>
        <v>TARJETA TURISTICA (LIVE 3 DAY CARD)</v>
      </c>
    </row>
    <row r="121" spans="1:9" hidden="1">
      <c r="A121" s="165" t="s">
        <v>265</v>
      </c>
      <c r="B121" s="165" t="s">
        <v>265</v>
      </c>
      <c r="C121" s="17" t="s">
        <v>255</v>
      </c>
      <c r="D121" s="116">
        <v>0</v>
      </c>
      <c r="E121" s="116">
        <v>0</v>
      </c>
      <c r="F121" s="116">
        <v>15.04</v>
      </c>
      <c r="G121" s="116">
        <v>-15.04</v>
      </c>
      <c r="H121" s="212">
        <f t="shared" si="3"/>
        <v>-15.04</v>
      </c>
      <c r="I121" s="176" t="str">
        <f t="shared" si="4"/>
        <v>Otros Ingresos</v>
      </c>
    </row>
    <row r="122" spans="1:9" hidden="1">
      <c r="A122" s="167" t="s">
        <v>267</v>
      </c>
      <c r="B122" s="168" t="s">
        <v>267</v>
      </c>
      <c r="C122" s="17" t="e">
        <f>-VENTA MANTENIMIENTO</f>
        <v>#NAME?</v>
      </c>
      <c r="D122" s="116">
        <v>0</v>
      </c>
      <c r="E122" s="116">
        <v>65.77</v>
      </c>
      <c r="F122" s="116">
        <v>23601.59</v>
      </c>
      <c r="G122" s="116">
        <v>-23535.82</v>
      </c>
      <c r="H122" s="212">
        <f t="shared" si="3"/>
        <v>-23535.82</v>
      </c>
      <c r="I122" s="176" t="e">
        <f t="shared" si="4"/>
        <v>#N/A</v>
      </c>
    </row>
    <row r="123" spans="1:9" hidden="1">
      <c r="C123" s="17" t="s">
        <v>256</v>
      </c>
      <c r="D123" s="116">
        <v>0</v>
      </c>
      <c r="E123" s="116">
        <v>1737167.57</v>
      </c>
      <c r="F123" s="116">
        <v>21612502.170000002</v>
      </c>
      <c r="G123" s="116">
        <v>-19875334.600000001</v>
      </c>
      <c r="H123" s="212"/>
      <c r="I123" s="176" t="e">
        <f t="shared" si="4"/>
        <v>#N/A</v>
      </c>
    </row>
    <row r="128" spans="1:9">
      <c r="C128" s="197" t="s">
        <v>269</v>
      </c>
      <c r="D128" s="197" t="s">
        <v>270</v>
      </c>
    </row>
    <row r="129" spans="3:4">
      <c r="C129" s="197" t="s">
        <v>272</v>
      </c>
      <c r="D129" s="197" t="s">
        <v>271</v>
      </c>
    </row>
  </sheetData>
  <autoFilter ref="A5:I123">
    <filterColumn colId="0">
      <filters>
        <filter val="BONO 10 (LPAMOVILIDAD)"/>
        <filter val="BONO WWJOVEN"/>
      </filters>
    </filterColumn>
  </autoFilter>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B2:E14"/>
  <sheetViews>
    <sheetView workbookViewId="0">
      <selection activeCell="E14" sqref="E14"/>
    </sheetView>
  </sheetViews>
  <sheetFormatPr baseColWidth="10" defaultColWidth="11.42578125" defaultRowHeight="12"/>
  <cols>
    <col min="1" max="1" width="11.42578125" style="5"/>
    <col min="2" max="2" width="42.28515625" style="5" bestFit="1" customWidth="1"/>
    <col min="3" max="4" width="11.42578125" style="5"/>
    <col min="5" max="5" width="44.85546875" style="5" bestFit="1" customWidth="1"/>
    <col min="6" max="16384" width="11.42578125" style="5"/>
  </cols>
  <sheetData>
    <row r="2" spans="2:5">
      <c r="B2" s="331" t="s">
        <v>962</v>
      </c>
    </row>
    <row r="4" spans="2:5">
      <c r="B4" s="730" t="s">
        <v>40</v>
      </c>
      <c r="C4" s="730" t="s">
        <v>963</v>
      </c>
      <c r="D4" s="730" t="s">
        <v>964</v>
      </c>
      <c r="E4" s="730" t="s">
        <v>966</v>
      </c>
    </row>
    <row r="5" spans="2:5">
      <c r="B5" s="7" t="s">
        <v>967</v>
      </c>
      <c r="C5" s="7" t="s">
        <v>965</v>
      </c>
      <c r="D5" s="7" t="s">
        <v>965</v>
      </c>
      <c r="E5" s="7" t="s">
        <v>968</v>
      </c>
    </row>
    <row r="6" spans="2:5">
      <c r="B6" s="7" t="s">
        <v>967</v>
      </c>
      <c r="C6" s="7" t="s">
        <v>965</v>
      </c>
      <c r="D6" s="7" t="s">
        <v>965</v>
      </c>
      <c r="E6" s="16" t="s">
        <v>975</v>
      </c>
    </row>
    <row r="7" spans="2:5">
      <c r="B7" s="7" t="s">
        <v>969</v>
      </c>
      <c r="C7" s="7" t="s">
        <v>965</v>
      </c>
      <c r="D7" s="7" t="s">
        <v>965</v>
      </c>
      <c r="E7" s="16" t="s">
        <v>980</v>
      </c>
    </row>
    <row r="8" spans="2:5">
      <c r="B8" s="7" t="s">
        <v>969</v>
      </c>
      <c r="C8" s="7" t="s">
        <v>965</v>
      </c>
      <c r="D8" s="7" t="s">
        <v>965</v>
      </c>
      <c r="E8" s="16" t="s">
        <v>981</v>
      </c>
    </row>
    <row r="9" spans="2:5">
      <c r="B9" s="7" t="s">
        <v>970</v>
      </c>
      <c r="C9" s="7" t="s">
        <v>965</v>
      </c>
      <c r="D9" s="7" t="s">
        <v>965</v>
      </c>
      <c r="E9" s="16" t="s">
        <v>971</v>
      </c>
    </row>
    <row r="10" spans="2:5">
      <c r="B10" s="7" t="s">
        <v>973</v>
      </c>
      <c r="C10" s="7" t="s">
        <v>965</v>
      </c>
      <c r="D10" s="7" t="s">
        <v>965</v>
      </c>
      <c r="E10" s="16" t="s">
        <v>974</v>
      </c>
    </row>
    <row r="11" spans="2:5">
      <c r="B11" s="7" t="s">
        <v>969</v>
      </c>
      <c r="C11" s="7"/>
      <c r="D11" s="7"/>
      <c r="E11" s="7" t="s">
        <v>976</v>
      </c>
    </row>
    <row r="12" spans="2:5">
      <c r="B12" s="7" t="s">
        <v>969</v>
      </c>
      <c r="C12" s="7"/>
      <c r="D12" s="7"/>
      <c r="E12" s="7" t="s">
        <v>977</v>
      </c>
    </row>
    <row r="13" spans="2:5">
      <c r="B13" s="7" t="s">
        <v>969</v>
      </c>
      <c r="C13" s="7"/>
      <c r="D13" s="7"/>
      <c r="E13" s="7" t="s">
        <v>978</v>
      </c>
    </row>
    <row r="14" spans="2:5">
      <c r="B14" s="7" t="s">
        <v>969</v>
      </c>
      <c r="E14" s="5" t="s">
        <v>979</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sheetPr>
    <tabColor theme="9" tint="0.39997558519241921"/>
  </sheetPr>
  <dimension ref="B2:D44"/>
  <sheetViews>
    <sheetView topLeftCell="A9" workbookViewId="0">
      <selection activeCell="B3" sqref="B3:D44"/>
    </sheetView>
  </sheetViews>
  <sheetFormatPr baseColWidth="10" defaultColWidth="11.42578125" defaultRowHeight="11.25"/>
  <cols>
    <col min="1" max="1" width="11.42578125" style="197"/>
    <col min="2" max="4" width="25.7109375" style="197" customWidth="1"/>
    <col min="5" max="16384" width="11.42578125" style="197"/>
  </cols>
  <sheetData>
    <row r="2" spans="2:4" ht="12" thickBot="1">
      <c r="B2" s="396"/>
      <c r="C2" s="396"/>
      <c r="D2" s="396"/>
    </row>
    <row r="3" spans="2:4">
      <c r="B3" s="866" t="s">
        <v>348</v>
      </c>
      <c r="C3" s="866" t="s">
        <v>349</v>
      </c>
      <c r="D3" s="866" t="s">
        <v>350</v>
      </c>
    </row>
    <row r="4" spans="2:4" ht="40.5" customHeight="1" thickBot="1">
      <c r="B4" s="867"/>
      <c r="C4" s="867"/>
      <c r="D4" s="867"/>
    </row>
    <row r="5" spans="2:4" ht="12" thickBot="1">
      <c r="B5" s="397" t="s">
        <v>351</v>
      </c>
      <c r="C5" s="398"/>
      <c r="D5" s="398"/>
    </row>
    <row r="6" spans="2:4" ht="12" thickBot="1">
      <c r="B6" s="398" t="s">
        <v>352</v>
      </c>
      <c r="C6" s="399">
        <v>0.02</v>
      </c>
      <c r="D6" s="400">
        <v>100</v>
      </c>
    </row>
    <row r="7" spans="2:4" ht="12" thickBot="1">
      <c r="B7" s="398" t="s">
        <v>353</v>
      </c>
      <c r="C7" s="399">
        <v>0.06</v>
      </c>
      <c r="D7" s="400">
        <v>34</v>
      </c>
    </row>
    <row r="8" spans="2:4" ht="12" thickBot="1">
      <c r="B8" s="398" t="s">
        <v>354</v>
      </c>
      <c r="C8" s="399">
        <v>7.0000000000000007E-2</v>
      </c>
      <c r="D8" s="400">
        <v>30</v>
      </c>
    </row>
    <row r="9" spans="2:4" ht="12" thickBot="1">
      <c r="B9" s="397" t="s">
        <v>355</v>
      </c>
      <c r="C9" s="398"/>
      <c r="D9" s="400"/>
    </row>
    <row r="10" spans="2:4" ht="12" thickBot="1">
      <c r="B10" s="398" t="s">
        <v>356</v>
      </c>
      <c r="C10" s="399">
        <v>0.02</v>
      </c>
      <c r="D10" s="400">
        <v>100</v>
      </c>
    </row>
    <row r="11" spans="2:4" ht="12" thickBot="1">
      <c r="B11" s="398" t="s">
        <v>357</v>
      </c>
      <c r="C11" s="399">
        <v>0.03</v>
      </c>
      <c r="D11" s="400">
        <v>60</v>
      </c>
    </row>
    <row r="12" spans="2:4" ht="12" thickBot="1">
      <c r="B12" s="398" t="s">
        <v>358</v>
      </c>
      <c r="C12" s="399">
        <v>0.04</v>
      </c>
      <c r="D12" s="400">
        <v>50</v>
      </c>
    </row>
    <row r="13" spans="2:4" ht="12" thickBot="1">
      <c r="B13" s="398" t="s">
        <v>359</v>
      </c>
      <c r="C13" s="399">
        <v>7.0000000000000007E-2</v>
      </c>
      <c r="D13" s="400">
        <v>30</v>
      </c>
    </row>
    <row r="14" spans="2:4" ht="12" thickBot="1">
      <c r="B14" s="398" t="s">
        <v>360</v>
      </c>
      <c r="C14" s="399">
        <v>0.05</v>
      </c>
      <c r="D14" s="400">
        <v>40</v>
      </c>
    </row>
    <row r="15" spans="2:4" ht="12" thickBot="1">
      <c r="B15" s="397" t="s">
        <v>361</v>
      </c>
      <c r="C15" s="398"/>
      <c r="D15" s="398"/>
    </row>
    <row r="16" spans="2:4" ht="12" thickBot="1">
      <c r="B16" s="398" t="s">
        <v>362</v>
      </c>
      <c r="C16" s="399">
        <v>0.03</v>
      </c>
      <c r="D16" s="400">
        <v>68</v>
      </c>
    </row>
    <row r="17" spans="2:4" ht="23.25" thickBot="1">
      <c r="B17" s="398" t="s">
        <v>363</v>
      </c>
      <c r="C17" s="399">
        <v>0.04</v>
      </c>
      <c r="D17" s="400">
        <v>50</v>
      </c>
    </row>
    <row r="18" spans="2:4" ht="23.25" thickBot="1">
      <c r="B18" s="398" t="s">
        <v>364</v>
      </c>
      <c r="C18" s="399">
        <v>7.0000000000000007E-2</v>
      </c>
      <c r="D18" s="400">
        <v>30</v>
      </c>
    </row>
    <row r="19" spans="2:4" ht="34.5" thickBot="1">
      <c r="B19" s="398" t="s">
        <v>365</v>
      </c>
      <c r="C19" s="399">
        <v>0.02</v>
      </c>
      <c r="D19" s="400">
        <v>100</v>
      </c>
    </row>
    <row r="20" spans="2:4" ht="12" thickBot="1">
      <c r="B20" s="397" t="s">
        <v>366</v>
      </c>
      <c r="C20" s="398"/>
      <c r="D20" s="398"/>
    </row>
    <row r="21" spans="2:4" ht="34.5" thickBot="1">
      <c r="B21" s="398" t="s">
        <v>367</v>
      </c>
      <c r="C21" s="399">
        <v>0.05</v>
      </c>
      <c r="D21" s="400">
        <v>40</v>
      </c>
    </row>
    <row r="22" spans="2:4" ht="12" thickBot="1">
      <c r="B22" s="398" t="s">
        <v>368</v>
      </c>
      <c r="C22" s="399">
        <v>7.0000000000000007E-2</v>
      </c>
      <c r="D22" s="400">
        <v>30</v>
      </c>
    </row>
    <row r="23" spans="2:4" ht="12" thickBot="1">
      <c r="B23" s="398" t="s">
        <v>369</v>
      </c>
      <c r="C23" s="399">
        <v>0.1</v>
      </c>
      <c r="D23" s="400">
        <v>20</v>
      </c>
    </row>
    <row r="24" spans="2:4" ht="12" thickBot="1">
      <c r="B24" s="398" t="s">
        <v>370</v>
      </c>
      <c r="C24" s="399">
        <v>0.12</v>
      </c>
      <c r="D24" s="400">
        <v>18</v>
      </c>
    </row>
    <row r="25" spans="2:4" ht="12" thickBot="1">
      <c r="B25" s="398" t="s">
        <v>371</v>
      </c>
      <c r="C25" s="399">
        <v>0.15</v>
      </c>
      <c r="D25" s="400">
        <v>14</v>
      </c>
    </row>
    <row r="26" spans="2:4" ht="12" thickBot="1">
      <c r="B26" s="397" t="s">
        <v>118</v>
      </c>
      <c r="C26" s="398"/>
      <c r="D26" s="398"/>
    </row>
    <row r="27" spans="2:4" ht="23.25" thickBot="1">
      <c r="B27" s="398" t="s">
        <v>372</v>
      </c>
      <c r="C27" s="399">
        <v>0.08</v>
      </c>
      <c r="D27" s="400">
        <v>25</v>
      </c>
    </row>
    <row r="28" spans="2:4" ht="12" thickBot="1">
      <c r="B28" s="398" t="s">
        <v>373</v>
      </c>
      <c r="C28" s="399">
        <v>0.1</v>
      </c>
      <c r="D28" s="400">
        <v>20</v>
      </c>
    </row>
    <row r="29" spans="2:4" ht="12" thickBot="1">
      <c r="B29" s="398" t="s">
        <v>374</v>
      </c>
      <c r="C29" s="399">
        <v>0.1</v>
      </c>
      <c r="D29" s="400">
        <v>20</v>
      </c>
    </row>
    <row r="30" spans="2:4" ht="12" thickBot="1">
      <c r="B30" s="398" t="s">
        <v>375</v>
      </c>
      <c r="C30" s="399">
        <v>0.16</v>
      </c>
      <c r="D30" s="400">
        <v>14</v>
      </c>
    </row>
    <row r="31" spans="2:4" ht="12" thickBot="1">
      <c r="B31" s="398" t="s">
        <v>376</v>
      </c>
      <c r="C31" s="399">
        <v>0.2</v>
      </c>
      <c r="D31" s="400">
        <v>10</v>
      </c>
    </row>
    <row r="32" spans="2:4" ht="12" thickBot="1">
      <c r="B32" s="397" t="s">
        <v>377</v>
      </c>
      <c r="C32" s="398"/>
      <c r="D32" s="398"/>
    </row>
    <row r="33" spans="2:4" ht="12" thickBot="1">
      <c r="B33" s="398" t="s">
        <v>378</v>
      </c>
      <c r="C33" s="399">
        <v>0.1</v>
      </c>
      <c r="D33" s="400">
        <v>20</v>
      </c>
    </row>
    <row r="34" spans="2:4" ht="12" thickBot="1">
      <c r="B34" s="398" t="s">
        <v>379</v>
      </c>
      <c r="C34" s="399">
        <v>0.25</v>
      </c>
      <c r="D34" s="400">
        <v>8</v>
      </c>
    </row>
    <row r="35" spans="2:4" ht="12" thickBot="1">
      <c r="B35" s="398" t="s">
        <v>380</v>
      </c>
      <c r="C35" s="399">
        <v>0.5</v>
      </c>
      <c r="D35" s="400">
        <v>4</v>
      </c>
    </row>
    <row r="36" spans="2:4" ht="12" thickBot="1">
      <c r="B36" s="398" t="s">
        <v>381</v>
      </c>
      <c r="C36" s="399">
        <v>0.25</v>
      </c>
      <c r="D36" s="400">
        <v>8</v>
      </c>
    </row>
    <row r="37" spans="2:4" ht="12" thickBot="1">
      <c r="B37" s="398" t="s">
        <v>382</v>
      </c>
      <c r="C37" s="399">
        <v>0.33</v>
      </c>
      <c r="D37" s="400">
        <v>6</v>
      </c>
    </row>
    <row r="38" spans="2:4" ht="12" thickBot="1">
      <c r="B38" s="398" t="s">
        <v>383</v>
      </c>
      <c r="C38" s="399">
        <v>0.15</v>
      </c>
      <c r="D38" s="400">
        <v>14</v>
      </c>
    </row>
    <row r="39" spans="2:4" ht="34.5" thickBot="1">
      <c r="B39" s="397" t="s">
        <v>384</v>
      </c>
      <c r="C39" s="398"/>
      <c r="D39" s="398"/>
    </row>
    <row r="40" spans="2:4" ht="12" thickBot="1">
      <c r="B40" s="398" t="s">
        <v>385</v>
      </c>
      <c r="C40" s="399">
        <v>0.2</v>
      </c>
      <c r="D40" s="400">
        <v>10</v>
      </c>
    </row>
    <row r="41" spans="2:4" ht="23.25" thickBot="1">
      <c r="B41" s="398" t="s">
        <v>386</v>
      </c>
      <c r="C41" s="399">
        <v>0.25</v>
      </c>
      <c r="D41" s="400">
        <v>8</v>
      </c>
    </row>
    <row r="42" spans="2:4" ht="12" thickBot="1">
      <c r="B42" s="398" t="s">
        <v>387</v>
      </c>
      <c r="C42" s="399">
        <v>0.33</v>
      </c>
      <c r="D42" s="400">
        <v>6</v>
      </c>
    </row>
    <row r="43" spans="2:4" ht="34.5" thickBot="1">
      <c r="B43" s="398" t="s">
        <v>388</v>
      </c>
      <c r="C43" s="399">
        <v>0.33</v>
      </c>
      <c r="D43" s="400">
        <v>6</v>
      </c>
    </row>
    <row r="44" spans="2:4" ht="12" thickBot="1">
      <c r="B44" s="397" t="s">
        <v>389</v>
      </c>
      <c r="C44" s="399">
        <v>0.1</v>
      </c>
      <c r="D44" s="396"/>
    </row>
  </sheetData>
  <mergeCells count="3">
    <mergeCell ref="B3:B4"/>
    <mergeCell ref="C3:C4"/>
    <mergeCell ref="D3:D4"/>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C4:D16"/>
  <sheetViews>
    <sheetView workbookViewId="0">
      <selection activeCell="S40" sqref="S40"/>
    </sheetView>
  </sheetViews>
  <sheetFormatPr baseColWidth="10" defaultColWidth="11.42578125" defaultRowHeight="12.75"/>
  <cols>
    <col min="1" max="2" width="11.42578125" style="425"/>
    <col min="3" max="3" width="10" style="425" bestFit="1" customWidth="1"/>
    <col min="4" max="16384" width="11.42578125" style="425"/>
  </cols>
  <sheetData>
    <row r="4" spans="3:4">
      <c r="C4" s="508">
        <v>15000</v>
      </c>
      <c r="D4" s="425" t="s">
        <v>908</v>
      </c>
    </row>
    <row r="5" spans="3:4">
      <c r="C5" s="508">
        <v>20000</v>
      </c>
      <c r="D5" s="425" t="s">
        <v>909</v>
      </c>
    </row>
    <row r="6" spans="3:4">
      <c r="C6" s="508"/>
      <c r="D6" s="425" t="s">
        <v>910</v>
      </c>
    </row>
    <row r="7" spans="3:4">
      <c r="C7" s="508">
        <v>32000</v>
      </c>
      <c r="D7" s="425" t="s">
        <v>911</v>
      </c>
    </row>
    <row r="8" spans="3:4">
      <c r="C8" s="508">
        <v>2000</v>
      </c>
      <c r="D8" s="425" t="s">
        <v>912</v>
      </c>
    </row>
    <row r="9" spans="3:4">
      <c r="C9" s="508">
        <v>9600</v>
      </c>
      <c r="D9" s="425" t="s">
        <v>913</v>
      </c>
    </row>
    <row r="10" spans="3:4">
      <c r="C10" s="508">
        <v>5000</v>
      </c>
      <c r="D10" s="425" t="s">
        <v>56</v>
      </c>
    </row>
    <row r="11" spans="3:4">
      <c r="C11" s="508">
        <v>600</v>
      </c>
      <c r="D11" s="425" t="s">
        <v>57</v>
      </c>
    </row>
    <row r="12" spans="3:4">
      <c r="C12" s="508">
        <v>400000</v>
      </c>
      <c r="D12" s="425" t="s">
        <v>119</v>
      </c>
    </row>
    <row r="13" spans="3:4">
      <c r="C13" s="508">
        <v>300000</v>
      </c>
      <c r="D13" s="425" t="s">
        <v>274</v>
      </c>
    </row>
    <row r="14" spans="3:4">
      <c r="C14" s="508">
        <v>149220</v>
      </c>
      <c r="D14" s="425" t="s">
        <v>584</v>
      </c>
    </row>
    <row r="16" spans="3:4">
      <c r="C16" s="652"/>
      <c r="D16" s="425" t="s">
        <v>914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92D050"/>
  </sheetPr>
  <dimension ref="A1:F69"/>
  <sheetViews>
    <sheetView showGridLines="0" topLeftCell="A22" zoomScale="80" zoomScaleNormal="80" zoomScaleSheetLayoutView="100" workbookViewId="0">
      <selection activeCell="H44" sqref="H44"/>
    </sheetView>
  </sheetViews>
  <sheetFormatPr baseColWidth="10" defaultRowHeight="15"/>
  <cols>
    <col min="1" max="1" width="51.7109375" customWidth="1"/>
    <col min="2" max="3" width="18.85546875" customWidth="1"/>
    <col min="5" max="5" width="13.5703125" customWidth="1"/>
  </cols>
  <sheetData>
    <row r="1" spans="1:5" s="216" customFormat="1" ht="60" customHeight="1" thickBot="1">
      <c r="A1" s="456"/>
      <c r="B1" s="456"/>
      <c r="C1" s="456"/>
    </row>
    <row r="2" spans="1:5" ht="15.75" thickBot="1">
      <c r="A2" s="909" t="s">
        <v>901</v>
      </c>
      <c r="B2" s="910"/>
      <c r="C2" s="911"/>
    </row>
    <row r="3" spans="1:5">
      <c r="A3" s="949" t="s">
        <v>1</v>
      </c>
      <c r="B3" s="950"/>
      <c r="C3" s="951" t="s">
        <v>2</v>
      </c>
    </row>
    <row r="4" spans="1:5" ht="21.75" customHeight="1" thickBot="1">
      <c r="A4" s="952" t="s">
        <v>3</v>
      </c>
      <c r="B4" s="953"/>
      <c r="C4" s="914">
        <v>2023</v>
      </c>
    </row>
    <row r="5" spans="1:5">
      <c r="A5" s="954" t="s">
        <v>4</v>
      </c>
      <c r="B5" s="1017"/>
      <c r="C5" s="1018"/>
    </row>
    <row r="6" spans="1:5">
      <c r="A6" s="1019" t="s">
        <v>5</v>
      </c>
      <c r="B6" s="1020" t="s">
        <v>903</v>
      </c>
      <c r="C6" s="1021"/>
    </row>
    <row r="7" spans="1:5" ht="25.5">
      <c r="A7" s="1019" t="s">
        <v>904</v>
      </c>
      <c r="B7" s="1022">
        <v>44896</v>
      </c>
      <c r="C7" s="1021"/>
    </row>
    <row r="8" spans="1:5">
      <c r="A8" s="960" t="s">
        <v>902</v>
      </c>
      <c r="B8" s="961"/>
      <c r="C8" s="962"/>
    </row>
    <row r="9" spans="1:5" ht="15.75" thickBot="1">
      <c r="A9" s="975" t="s">
        <v>7</v>
      </c>
      <c r="B9" s="976"/>
      <c r="C9" s="977"/>
    </row>
    <row r="10" spans="1:5">
      <c r="A10" s="1023" t="s">
        <v>424</v>
      </c>
      <c r="B10" s="1024">
        <f>'3. P y G PRESENTACION'!B9</f>
        <v>2023</v>
      </c>
      <c r="C10" s="1024" t="str">
        <f>'3. P y G PRESENTACION'!C9</f>
        <v>2022 (estimado)</v>
      </c>
    </row>
    <row r="11" spans="1:5">
      <c r="A11" s="978" t="s">
        <v>425</v>
      </c>
      <c r="B11" s="979">
        <v>100218084.95863917</v>
      </c>
      <c r="C11" s="980">
        <v>59665930.523844235</v>
      </c>
      <c r="D11" s="216"/>
      <c r="E11" s="216"/>
    </row>
    <row r="12" spans="1:5">
      <c r="A12" s="981" t="s">
        <v>426</v>
      </c>
      <c r="B12" s="982">
        <v>47899645.135952823</v>
      </c>
      <c r="C12" s="983">
        <v>25317839.680311713</v>
      </c>
      <c r="D12" s="216"/>
      <c r="E12" s="216"/>
    </row>
    <row r="13" spans="1:5">
      <c r="A13" s="984" t="s">
        <v>427</v>
      </c>
      <c r="B13" s="985">
        <v>0</v>
      </c>
      <c r="C13" s="986">
        <v>0</v>
      </c>
      <c r="D13" s="216"/>
      <c r="E13" s="216"/>
    </row>
    <row r="14" spans="1:5">
      <c r="A14" s="987" t="s">
        <v>428</v>
      </c>
      <c r="B14" s="988">
        <v>740790.97822222207</v>
      </c>
      <c r="C14" s="989">
        <v>453302.84872222238</v>
      </c>
      <c r="D14" s="216"/>
      <c r="E14" s="216"/>
    </row>
    <row r="15" spans="1:5">
      <c r="A15" s="984" t="s">
        <v>429</v>
      </c>
      <c r="B15" s="990">
        <v>22880481.049730603</v>
      </c>
      <c r="C15" s="991">
        <v>21239604.071589492</v>
      </c>
      <c r="D15" s="216"/>
      <c r="E15" s="216"/>
    </row>
    <row r="16" spans="1:5">
      <c r="A16" s="987" t="s">
        <v>430</v>
      </c>
      <c r="B16" s="988">
        <v>24278373.107999999</v>
      </c>
      <c r="C16" s="989">
        <v>3624932.7599999993</v>
      </c>
      <c r="D16" s="216"/>
      <c r="E16" s="216"/>
    </row>
    <row r="17" spans="1:5">
      <c r="A17" s="981" t="s">
        <v>431</v>
      </c>
      <c r="B17" s="982">
        <v>52191913.259966351</v>
      </c>
      <c r="C17" s="983">
        <v>34218736.647852518</v>
      </c>
      <c r="D17" s="216"/>
      <c r="E17" s="216"/>
    </row>
    <row r="18" spans="1:5">
      <c r="A18" s="987" t="s">
        <v>432</v>
      </c>
      <c r="B18" s="988">
        <v>7737789.160756032</v>
      </c>
      <c r="C18" s="992">
        <v>6958146.1050814809</v>
      </c>
      <c r="D18" s="216"/>
      <c r="E18" s="216"/>
    </row>
    <row r="19" spans="1:5">
      <c r="A19" s="984" t="s">
        <v>429</v>
      </c>
      <c r="B19" s="990">
        <v>0</v>
      </c>
      <c r="C19" s="991">
        <v>0</v>
      </c>
      <c r="D19" s="216"/>
      <c r="E19" s="216"/>
    </row>
    <row r="20" spans="1:5">
      <c r="A20" s="987" t="s">
        <v>433</v>
      </c>
      <c r="B20" s="988">
        <v>44454124.099210322</v>
      </c>
      <c r="C20" s="989">
        <v>27260590.542771038</v>
      </c>
      <c r="D20" s="216"/>
      <c r="E20" s="216"/>
    </row>
    <row r="21" spans="1:5">
      <c r="A21" s="993" t="s">
        <v>434</v>
      </c>
      <c r="B21" s="994">
        <v>102185.98272</v>
      </c>
      <c r="C21" s="995">
        <v>105013.61567999999</v>
      </c>
      <c r="D21" s="216"/>
      <c r="E21" s="216"/>
    </row>
    <row r="22" spans="1:5">
      <c r="A22" s="987" t="s">
        <v>435</v>
      </c>
      <c r="B22" s="996">
        <v>20891.650000000001</v>
      </c>
      <c r="C22" s="992">
        <v>20891.650000000001</v>
      </c>
      <c r="D22" s="216"/>
      <c r="E22" s="216"/>
    </row>
    <row r="23" spans="1:5">
      <c r="A23" s="997" t="s">
        <v>436</v>
      </c>
      <c r="B23" s="998">
        <v>81294.332719999991</v>
      </c>
      <c r="C23" s="999">
        <v>84121.965679999994</v>
      </c>
      <c r="D23" s="216"/>
      <c r="E23" s="216"/>
    </row>
    <row r="24" spans="1:5">
      <c r="A24" s="981" t="s">
        <v>437</v>
      </c>
      <c r="B24" s="982">
        <v>24040.58</v>
      </c>
      <c r="C24" s="983">
        <v>24040.58</v>
      </c>
      <c r="D24" s="216"/>
      <c r="E24" s="216"/>
    </row>
    <row r="25" spans="1:5">
      <c r="A25" s="981" t="s">
        <v>438</v>
      </c>
      <c r="B25" s="982">
        <v>300</v>
      </c>
      <c r="C25" s="983">
        <v>300</v>
      </c>
      <c r="D25" s="216"/>
      <c r="E25" s="216"/>
    </row>
    <row r="26" spans="1:5">
      <c r="A26" s="978" t="s">
        <v>441</v>
      </c>
      <c r="B26" s="979">
        <v>43503952.826401882</v>
      </c>
      <c r="C26" s="980">
        <v>36975301.898774847</v>
      </c>
      <c r="D26" s="216"/>
      <c r="E26" s="216"/>
    </row>
    <row r="27" spans="1:5" ht="21.75" customHeight="1">
      <c r="A27" s="981" t="s">
        <v>447</v>
      </c>
      <c r="B27" s="982">
        <v>759104.85000000009</v>
      </c>
      <c r="C27" s="983">
        <v>759104.85000000009</v>
      </c>
      <c r="D27" s="216"/>
      <c r="E27" s="216"/>
    </row>
    <row r="28" spans="1:5">
      <c r="A28" s="987" t="s">
        <v>448</v>
      </c>
      <c r="B28" s="996">
        <v>759104.85000000009</v>
      </c>
      <c r="C28" s="992">
        <v>759104.85000000009</v>
      </c>
      <c r="D28" s="216"/>
      <c r="E28" s="216"/>
    </row>
    <row r="29" spans="1:5">
      <c r="A29" s="987" t="s">
        <v>429</v>
      </c>
      <c r="B29" s="996">
        <v>0</v>
      </c>
      <c r="C29" s="992">
        <v>0</v>
      </c>
      <c r="D29" s="216"/>
      <c r="E29" s="216"/>
    </row>
    <row r="30" spans="1:5">
      <c r="A30" s="981" t="s">
        <v>449</v>
      </c>
      <c r="B30" s="982">
        <v>4760215.5355623821</v>
      </c>
      <c r="C30" s="983">
        <v>4816550.0270747794</v>
      </c>
      <c r="D30" s="216"/>
      <c r="E30" s="216"/>
    </row>
    <row r="31" spans="1:5">
      <c r="A31" s="987" t="s">
        <v>450</v>
      </c>
      <c r="B31" s="988">
        <v>236776.4397336102</v>
      </c>
      <c r="C31" s="989">
        <v>233053.09687607433</v>
      </c>
      <c r="D31" s="216"/>
      <c r="E31" s="216"/>
    </row>
    <row r="32" spans="1:5">
      <c r="A32" s="984" t="s">
        <v>451</v>
      </c>
      <c r="B32" s="985">
        <v>0</v>
      </c>
      <c r="C32" s="986">
        <v>0</v>
      </c>
      <c r="D32" s="216"/>
      <c r="E32" s="216"/>
    </row>
    <row r="33" spans="1:5">
      <c r="A33" s="987" t="s">
        <v>452</v>
      </c>
      <c r="B33" s="988">
        <v>4523439.0958287716</v>
      </c>
      <c r="C33" s="989">
        <v>4583496.9301987048</v>
      </c>
      <c r="D33" s="216"/>
      <c r="E33" s="216"/>
    </row>
    <row r="34" spans="1:5">
      <c r="A34" s="981" t="s">
        <v>454</v>
      </c>
      <c r="B34" s="982">
        <v>3237068</v>
      </c>
      <c r="C34" s="983">
        <v>3237068</v>
      </c>
      <c r="D34" s="216"/>
      <c r="E34" s="216"/>
    </row>
    <row r="35" spans="1:5">
      <c r="A35" s="981" t="s">
        <v>456</v>
      </c>
      <c r="B35" s="982">
        <v>34747564.440839499</v>
      </c>
      <c r="C35" s="983">
        <v>28162579.021700069</v>
      </c>
      <c r="D35" s="216"/>
      <c r="E35" s="216"/>
    </row>
    <row r="36" spans="1:5" ht="15.75" thickBot="1">
      <c r="A36" s="1004" t="s">
        <v>457</v>
      </c>
      <c r="B36" s="1005">
        <v>143722037.78504106</v>
      </c>
      <c r="C36" s="1006">
        <v>96641232.422619075</v>
      </c>
      <c r="D36" s="216"/>
      <c r="E36" s="216"/>
    </row>
    <row r="37" spans="1:5" s="216" customFormat="1" ht="60" customHeight="1" thickBot="1">
      <c r="A37" s="1007"/>
      <c r="B37" s="1008"/>
      <c r="C37" s="1008"/>
    </row>
    <row r="38" spans="1:5" ht="15.75" thickBot="1">
      <c r="A38" s="909" t="s">
        <v>905</v>
      </c>
      <c r="B38" s="910"/>
      <c r="C38" s="911"/>
      <c r="D38" s="216"/>
      <c r="E38" s="216"/>
    </row>
    <row r="39" spans="1:5">
      <c r="A39" s="949" t="s">
        <v>1</v>
      </c>
      <c r="B39" s="950"/>
      <c r="C39" s="951" t="s">
        <v>2</v>
      </c>
    </row>
    <row r="40" spans="1:5" ht="15.75" thickBot="1">
      <c r="A40" s="952" t="s">
        <v>3</v>
      </c>
      <c r="B40" s="953"/>
      <c r="C40" s="914">
        <v>2023</v>
      </c>
    </row>
    <row r="41" spans="1:5">
      <c r="A41" s="954" t="s">
        <v>4</v>
      </c>
      <c r="B41" s="1017"/>
      <c r="C41" s="1018"/>
    </row>
    <row r="42" spans="1:5">
      <c r="A42" s="1019" t="s">
        <v>5</v>
      </c>
      <c r="B42" s="1020" t="s">
        <v>903</v>
      </c>
      <c r="C42" s="1021"/>
    </row>
    <row r="43" spans="1:5" ht="25.5">
      <c r="A43" s="1019" t="s">
        <v>904</v>
      </c>
      <c r="B43" s="1022">
        <f>B7</f>
        <v>44896</v>
      </c>
      <c r="C43" s="1021"/>
    </row>
    <row r="44" spans="1:5">
      <c r="A44" s="960" t="s">
        <v>902</v>
      </c>
      <c r="B44" s="961"/>
      <c r="C44" s="962"/>
    </row>
    <row r="45" spans="1:5" ht="15.75" thickBot="1">
      <c r="A45" s="975" t="s">
        <v>7</v>
      </c>
      <c r="B45" s="976"/>
      <c r="C45" s="977"/>
    </row>
    <row r="46" spans="1:5">
      <c r="A46" s="1023" t="s">
        <v>458</v>
      </c>
      <c r="B46" s="1024">
        <f>B10</f>
        <v>2023</v>
      </c>
      <c r="C46" s="1024" t="str">
        <f>C10</f>
        <v>2022 (estimado)</v>
      </c>
    </row>
    <row r="47" spans="1:5">
      <c r="A47" s="978" t="s">
        <v>459</v>
      </c>
      <c r="B47" s="1009">
        <v>52063351.601283588</v>
      </c>
      <c r="C47" s="1010">
        <v>46066414.071368977</v>
      </c>
    </row>
    <row r="48" spans="1:5">
      <c r="A48" s="981" t="s">
        <v>460</v>
      </c>
      <c r="B48" s="982">
        <v>27216689.090569414</v>
      </c>
      <c r="C48" s="983">
        <v>26215185.359156184</v>
      </c>
    </row>
    <row r="49" spans="1:6">
      <c r="A49" s="981" t="s">
        <v>461</v>
      </c>
      <c r="B49" s="1011">
        <v>15608538.4</v>
      </c>
      <c r="C49" s="1012">
        <v>15608538.4</v>
      </c>
    </row>
    <row r="50" spans="1:6">
      <c r="A50" s="981" t="s">
        <v>463</v>
      </c>
      <c r="B50" s="1011">
        <v>9615774.6791561805</v>
      </c>
      <c r="C50" s="1012">
        <v>5930678.3100000005</v>
      </c>
    </row>
    <row r="51" spans="1:6">
      <c r="A51" s="981" t="s">
        <v>465</v>
      </c>
      <c r="B51" s="1011">
        <v>990872.2799999998</v>
      </c>
      <c r="C51" s="1012">
        <v>990872.2799999998</v>
      </c>
    </row>
    <row r="52" spans="1:6">
      <c r="A52" s="981" t="s">
        <v>467</v>
      </c>
      <c r="B52" s="1011">
        <v>1001503.7314132308</v>
      </c>
      <c r="C52" s="1012">
        <v>3685096.3691561799</v>
      </c>
    </row>
    <row r="53" spans="1:6">
      <c r="A53" s="981" t="s">
        <v>471</v>
      </c>
      <c r="B53" s="1011">
        <v>24846662.510714173</v>
      </c>
      <c r="C53" s="1012">
        <v>19851228.712212794</v>
      </c>
    </row>
    <row r="54" spans="1:6">
      <c r="A54" s="978" t="s">
        <v>472</v>
      </c>
      <c r="B54" s="1009">
        <v>72882748.590159178</v>
      </c>
      <c r="C54" s="1010">
        <v>35794792.510724068</v>
      </c>
    </row>
    <row r="55" spans="1:6">
      <c r="A55" s="981" t="s">
        <v>477</v>
      </c>
      <c r="B55" s="982">
        <v>72882748.590159178</v>
      </c>
      <c r="C55" s="983">
        <v>35794792.510724068</v>
      </c>
    </row>
    <row r="56" spans="1:6">
      <c r="A56" s="987" t="s">
        <v>479</v>
      </c>
      <c r="B56" s="1013">
        <v>72803597.680159181</v>
      </c>
      <c r="C56" s="1014">
        <v>35715641.600724071</v>
      </c>
    </row>
    <row r="57" spans="1:6">
      <c r="A57" s="987" t="s">
        <v>481</v>
      </c>
      <c r="B57" s="1013">
        <v>79150.91</v>
      </c>
      <c r="C57" s="1014">
        <v>79150.91</v>
      </c>
    </row>
    <row r="58" spans="1:6">
      <c r="A58" s="978" t="s">
        <v>487</v>
      </c>
      <c r="B58" s="1009">
        <v>18775937.593598329</v>
      </c>
      <c r="C58" s="1010">
        <v>14780025.840526065</v>
      </c>
    </row>
    <row r="59" spans="1:6">
      <c r="A59" s="1001" t="s">
        <v>493</v>
      </c>
      <c r="B59" s="1015">
        <v>480867.53</v>
      </c>
      <c r="C59" s="1016">
        <v>480867.53</v>
      </c>
      <c r="D59" s="216"/>
      <c r="E59" s="216"/>
      <c r="F59" s="216"/>
    </row>
    <row r="60" spans="1:6">
      <c r="A60" s="981" t="s">
        <v>494</v>
      </c>
      <c r="B60" s="982">
        <v>7333559.7492496483</v>
      </c>
      <c r="C60" s="983">
        <v>7731668.7242097333</v>
      </c>
      <c r="D60" s="216"/>
      <c r="E60" s="216"/>
      <c r="F60" s="216"/>
    </row>
    <row r="61" spans="1:6">
      <c r="A61" s="987" t="s">
        <v>495</v>
      </c>
      <c r="B61" s="1013">
        <v>1669854.6620839802</v>
      </c>
      <c r="C61" s="1014">
        <v>1736699.4213479161</v>
      </c>
      <c r="D61" s="216"/>
      <c r="E61" s="216"/>
      <c r="F61" s="216"/>
    </row>
    <row r="62" spans="1:6">
      <c r="A62" s="987" t="s">
        <v>496</v>
      </c>
      <c r="B62" s="1013">
        <v>5663705.0871656686</v>
      </c>
      <c r="C62" s="1014">
        <v>5994969.3028618172</v>
      </c>
      <c r="D62" s="216"/>
      <c r="E62" s="216"/>
      <c r="F62" s="216"/>
    </row>
    <row r="63" spans="1:6">
      <c r="A63" s="981" t="s">
        <v>497</v>
      </c>
      <c r="B63" s="1002">
        <v>1679413.18</v>
      </c>
      <c r="C63" s="1003">
        <v>1679413.18</v>
      </c>
      <c r="D63" s="216"/>
      <c r="E63" s="216"/>
      <c r="F63" s="216"/>
    </row>
    <row r="64" spans="1:6" ht="15.75" thickBot="1">
      <c r="A64" s="1004" t="s">
        <v>499</v>
      </c>
      <c r="B64" s="1005">
        <v>143722037.78504109</v>
      </c>
      <c r="C64" s="1006">
        <v>96641232.422619104</v>
      </c>
      <c r="D64" s="216"/>
      <c r="E64" s="216"/>
      <c r="F64" s="216"/>
    </row>
    <row r="65" spans="2:6">
      <c r="D65" s="216"/>
      <c r="E65" s="216"/>
      <c r="F65" s="216"/>
    </row>
    <row r="66" spans="2:6">
      <c r="B66" s="725"/>
      <c r="C66" s="725"/>
      <c r="D66" s="216"/>
      <c r="E66" s="216"/>
      <c r="F66" s="216"/>
    </row>
    <row r="67" spans="2:6">
      <c r="B67" s="725"/>
      <c r="C67" s="725"/>
      <c r="D67" s="216"/>
      <c r="E67" s="216"/>
      <c r="F67" s="216"/>
    </row>
    <row r="68" spans="2:6" ht="15.75">
      <c r="B68" s="834"/>
      <c r="C68" s="834"/>
      <c r="D68" s="216"/>
      <c r="E68" s="216"/>
      <c r="F68" s="216"/>
    </row>
    <row r="69" spans="2:6">
      <c r="D69" s="216"/>
      <c r="E69" s="216"/>
      <c r="F69" s="216"/>
    </row>
  </sheetData>
  <mergeCells count="16">
    <mergeCell ref="B7:C7"/>
    <mergeCell ref="A2:C2"/>
    <mergeCell ref="A3:B3"/>
    <mergeCell ref="A4:B4"/>
    <mergeCell ref="A5:C5"/>
    <mergeCell ref="B6:C6"/>
    <mergeCell ref="A45:C45"/>
    <mergeCell ref="A38:C38"/>
    <mergeCell ref="A39:B39"/>
    <mergeCell ref="A8:C8"/>
    <mergeCell ref="A9:C9"/>
    <mergeCell ref="A40:B40"/>
    <mergeCell ref="A41:C41"/>
    <mergeCell ref="B42:C42"/>
    <mergeCell ref="B43:C43"/>
    <mergeCell ref="A44:C44"/>
  </mergeCells>
  <pageMargins left="0.7" right="0.7" top="0.75" bottom="0.75" header="0.3" footer="0.3"/>
  <pageSetup paperSize="9" scale="72" orientation="portrait" r:id="rId1"/>
  <rowBreaks count="1" manualBreakCount="1">
    <brk id="36" max="2" man="1"/>
  </rowBreaks>
  <drawing r:id="rId2"/>
</worksheet>
</file>

<file path=xl/worksheets/sheet4.xml><?xml version="1.0" encoding="utf-8"?>
<worksheet xmlns="http://schemas.openxmlformats.org/spreadsheetml/2006/main" xmlns:r="http://schemas.openxmlformats.org/officeDocument/2006/relationships">
  <sheetPr>
    <tabColor rgb="FF92D050"/>
  </sheetPr>
  <dimension ref="A1:K108"/>
  <sheetViews>
    <sheetView showGridLines="0" topLeftCell="B7" zoomScaleNormal="100" zoomScaleSheetLayoutView="85" workbookViewId="0">
      <selection activeCell="H23" sqref="H23"/>
    </sheetView>
  </sheetViews>
  <sheetFormatPr baseColWidth="10" defaultRowHeight="15" outlineLevelRow="1"/>
  <cols>
    <col min="1" max="1" width="3.7109375" style="456" hidden="1" customWidth="1"/>
    <col min="2" max="2" width="93" customWidth="1"/>
    <col min="3" max="4" width="20.42578125" customWidth="1"/>
    <col min="5" max="5" width="3.7109375" style="456" customWidth="1"/>
    <col min="6" max="8" width="14.5703125" style="456" customWidth="1"/>
    <col min="9" max="10" width="16.28515625" style="456" customWidth="1"/>
    <col min="11" max="11" width="15.140625" style="456" customWidth="1"/>
  </cols>
  <sheetData>
    <row r="1" spans="1:11" s="216" customFormat="1" ht="60" customHeight="1" thickBot="1">
      <c r="A1" s="456"/>
      <c r="B1" s="456"/>
      <c r="C1" s="456"/>
      <c r="D1" s="456"/>
      <c r="E1" s="456"/>
      <c r="F1" s="456"/>
      <c r="G1" s="456"/>
      <c r="H1" s="456"/>
      <c r="I1" s="456"/>
      <c r="J1" s="456"/>
      <c r="K1" s="456"/>
    </row>
    <row r="2" spans="1:11" s="216" customFormat="1" ht="15.75" thickBot="1">
      <c r="A2" s="456"/>
      <c r="B2" s="909" t="s">
        <v>906</v>
      </c>
      <c r="C2" s="910"/>
      <c r="D2" s="911"/>
      <c r="E2" s="456"/>
      <c r="F2" s="456"/>
      <c r="G2" s="456"/>
      <c r="H2" s="456"/>
      <c r="I2" s="456"/>
      <c r="J2" s="456"/>
      <c r="K2" s="456"/>
    </row>
    <row r="3" spans="1:11" s="216" customFormat="1">
      <c r="A3" s="456"/>
      <c r="B3" s="949" t="s">
        <v>1</v>
      </c>
      <c r="C3" s="950"/>
      <c r="D3" s="951" t="s">
        <v>2</v>
      </c>
      <c r="E3" s="456"/>
      <c r="F3" s="456"/>
      <c r="G3" s="456"/>
      <c r="H3" s="456"/>
      <c r="I3" s="456"/>
      <c r="J3" s="456"/>
      <c r="K3" s="456"/>
    </row>
    <row r="4" spans="1:11" s="216" customFormat="1" ht="15.75" thickBot="1">
      <c r="A4" s="456"/>
      <c r="B4" s="952" t="s">
        <v>3</v>
      </c>
      <c r="C4" s="953"/>
      <c r="D4" s="914">
        <v>2023</v>
      </c>
      <c r="E4" s="456"/>
      <c r="F4" s="456"/>
      <c r="G4" s="456"/>
      <c r="H4" s="456"/>
      <c r="I4" s="456"/>
      <c r="J4" s="456"/>
      <c r="K4" s="456"/>
    </row>
    <row r="5" spans="1:11" s="216" customFormat="1">
      <c r="A5" s="456"/>
      <c r="B5" s="954" t="s">
        <v>4</v>
      </c>
      <c r="C5" s="955"/>
      <c r="D5" s="956"/>
      <c r="E5" s="456"/>
      <c r="F5" s="456"/>
      <c r="G5" s="456"/>
      <c r="H5" s="456"/>
      <c r="I5" s="456"/>
      <c r="J5" s="456"/>
      <c r="K5" s="456"/>
    </row>
    <row r="6" spans="1:11" s="216" customFormat="1">
      <c r="A6" s="456"/>
      <c r="B6" s="957" t="s">
        <v>5</v>
      </c>
      <c r="C6" s="958"/>
      <c r="D6" s="959"/>
      <c r="E6" s="456"/>
      <c r="F6" s="456"/>
      <c r="G6" s="456"/>
      <c r="H6" s="456"/>
      <c r="I6" s="456"/>
      <c r="J6" s="456"/>
      <c r="K6" s="456"/>
    </row>
    <row r="7" spans="1:11" s="216" customFormat="1">
      <c r="A7" s="456"/>
      <c r="B7" s="960" t="s">
        <v>907</v>
      </c>
      <c r="C7" s="961"/>
      <c r="D7" s="962"/>
      <c r="E7" s="456"/>
      <c r="F7" s="456"/>
      <c r="G7" s="456"/>
      <c r="H7" s="456"/>
      <c r="I7" s="456"/>
      <c r="J7" s="456"/>
      <c r="K7" s="456"/>
    </row>
    <row r="8" spans="1:11" s="456" customFormat="1" ht="15.75" thickBot="1">
      <c r="B8" s="975" t="s">
        <v>7</v>
      </c>
      <c r="C8" s="976"/>
      <c r="D8" s="977"/>
    </row>
    <row r="9" spans="1:11" ht="15.75" thickBot="1">
      <c r="B9" s="1025"/>
      <c r="C9" s="1071">
        <v>2023</v>
      </c>
      <c r="D9" s="1071" t="s">
        <v>1020</v>
      </c>
    </row>
    <row r="10" spans="1:11">
      <c r="B10" s="1026" t="s">
        <v>500</v>
      </c>
      <c r="C10" s="1027">
        <v>1001503.7314132266</v>
      </c>
      <c r="D10" s="1028">
        <v>3685096.364730557</v>
      </c>
      <c r="F10" s="479"/>
      <c r="G10" s="833"/>
    </row>
    <row r="11" spans="1:11">
      <c r="B11" s="1029" t="s">
        <v>501</v>
      </c>
      <c r="C11" s="1030">
        <v>3994171.5032141209</v>
      </c>
      <c r="D11" s="1031">
        <v>2586899.6379869566</v>
      </c>
      <c r="F11" s="479"/>
      <c r="G11" s="833"/>
    </row>
    <row r="12" spans="1:11">
      <c r="B12" s="1032" t="s">
        <v>502</v>
      </c>
      <c r="C12" s="1033">
        <v>5471359.6113461601</v>
      </c>
      <c r="D12" s="1034">
        <v>4766399.7336950675</v>
      </c>
      <c r="G12" s="485"/>
    </row>
    <row r="13" spans="1:11">
      <c r="B13" s="1032" t="s">
        <v>503</v>
      </c>
      <c r="C13" s="1033">
        <v>0</v>
      </c>
      <c r="D13" s="1034">
        <v>0</v>
      </c>
      <c r="G13" s="485"/>
    </row>
    <row r="14" spans="1:11" hidden="1" outlineLevel="1">
      <c r="B14" s="1035" t="s">
        <v>504</v>
      </c>
      <c r="C14" s="1036"/>
      <c r="D14" s="1037"/>
      <c r="G14" s="485"/>
    </row>
    <row r="15" spans="1:11" collapsed="1">
      <c r="B15" s="1038" t="s">
        <v>505</v>
      </c>
      <c r="C15" s="1033">
        <v>-1891811.073361621</v>
      </c>
      <c r="D15" s="1034">
        <v>-2288534.7533616209</v>
      </c>
      <c r="G15" s="485"/>
    </row>
    <row r="16" spans="1:11" hidden="1" outlineLevel="1">
      <c r="B16" s="1039" t="s">
        <v>506</v>
      </c>
      <c r="C16" s="1036"/>
      <c r="D16" s="1037"/>
      <c r="G16" s="485"/>
    </row>
    <row r="17" spans="2:11" hidden="1" outlineLevel="1">
      <c r="B17" s="1039" t="s">
        <v>507</v>
      </c>
      <c r="C17" s="1036"/>
      <c r="D17" s="1037"/>
      <c r="G17" s="485"/>
    </row>
    <row r="18" spans="2:11" collapsed="1">
      <c r="B18" s="1038" t="s">
        <v>508</v>
      </c>
      <c r="C18" s="1033">
        <v>-1486.5</v>
      </c>
      <c r="D18" s="1034">
        <v>-16254.93</v>
      </c>
      <c r="G18" s="485"/>
    </row>
    <row r="19" spans="2:11">
      <c r="B19" s="1038" t="s">
        <v>509</v>
      </c>
      <c r="C19" s="1033">
        <v>2056986.4433706906</v>
      </c>
      <c r="D19" s="1034">
        <v>437134.32924300473</v>
      </c>
      <c r="G19" s="485"/>
    </row>
    <row r="20" spans="2:11" hidden="1" outlineLevel="1">
      <c r="B20" s="1039" t="s">
        <v>510</v>
      </c>
      <c r="C20" s="1036"/>
      <c r="D20" s="1037"/>
      <c r="G20" s="485"/>
    </row>
    <row r="21" spans="2:11" hidden="1" outlineLevel="1">
      <c r="B21" s="1039" t="s">
        <v>511</v>
      </c>
      <c r="C21" s="1036"/>
      <c r="D21" s="1037"/>
      <c r="G21" s="485"/>
    </row>
    <row r="22" spans="2:11" collapsed="1">
      <c r="B22" s="1038" t="s">
        <v>512</v>
      </c>
      <c r="C22" s="1040">
        <v>-1640876.9781411085</v>
      </c>
      <c r="D22" s="1041">
        <v>-311844.7415894944</v>
      </c>
      <c r="G22" s="485"/>
    </row>
    <row r="23" spans="2:11">
      <c r="B23" s="1029" t="s">
        <v>513</v>
      </c>
      <c r="C23" s="1042">
        <v>-341774.4834476877</v>
      </c>
      <c r="D23" s="1414" t="s">
        <v>1074</v>
      </c>
      <c r="F23" s="479"/>
      <c r="G23" s="833"/>
    </row>
    <row r="24" spans="2:11">
      <c r="B24" s="1032" t="s">
        <v>514</v>
      </c>
      <c r="C24" s="1033">
        <v>0</v>
      </c>
      <c r="D24" s="1034">
        <v>0</v>
      </c>
      <c r="G24" s="485"/>
    </row>
    <row r="25" spans="2:11">
      <c r="B25" s="1032" t="s">
        <v>515</v>
      </c>
      <c r="C25" s="1033">
        <v>56334.491512397304</v>
      </c>
      <c r="D25" s="1034">
        <v>6120259.8200000003</v>
      </c>
      <c r="G25" s="485"/>
    </row>
    <row r="26" spans="2:11">
      <c r="B26" s="1032" t="s">
        <v>516</v>
      </c>
      <c r="C26" s="1033">
        <v>0</v>
      </c>
      <c r="D26" s="1034">
        <v>33827.56</v>
      </c>
      <c r="G26" s="485"/>
    </row>
    <row r="27" spans="2:11">
      <c r="B27" s="1038" t="s">
        <v>517</v>
      </c>
      <c r="C27" s="1033">
        <v>-398108.974960085</v>
      </c>
      <c r="D27" s="1034">
        <v>-2986378.58</v>
      </c>
      <c r="G27" s="485"/>
    </row>
    <row r="28" spans="2:11">
      <c r="B28" s="1038" t="s">
        <v>518</v>
      </c>
      <c r="C28" s="1033">
        <v>0</v>
      </c>
      <c r="D28" s="1034">
        <v>85392.1</v>
      </c>
      <c r="G28" s="485"/>
    </row>
    <row r="29" spans="2:11" hidden="1" outlineLevel="1">
      <c r="B29" s="1039" t="s">
        <v>519</v>
      </c>
      <c r="C29" s="1040"/>
      <c r="D29" s="1041"/>
      <c r="G29" s="485"/>
      <c r="H29" s="466"/>
      <c r="I29" s="466"/>
      <c r="J29" s="466"/>
      <c r="K29" s="466"/>
    </row>
    <row r="30" spans="2:11" collapsed="1">
      <c r="B30" s="1029" t="s">
        <v>520</v>
      </c>
      <c r="C30" s="1042">
        <v>-2055499.9433706906</v>
      </c>
      <c r="D30" s="1043">
        <v>-420879.39924300474</v>
      </c>
      <c r="F30" s="479"/>
      <c r="G30" s="833"/>
      <c r="H30" s="466"/>
      <c r="I30" s="466"/>
      <c r="J30" s="466"/>
      <c r="K30" s="466"/>
    </row>
    <row r="31" spans="2:11">
      <c r="B31" s="1032" t="s">
        <v>521</v>
      </c>
      <c r="C31" s="1040">
        <v>-2056986.4433706906</v>
      </c>
      <c r="D31" s="1044">
        <v>-437134.32924300473</v>
      </c>
      <c r="G31" s="485"/>
      <c r="H31" s="466"/>
      <c r="I31" s="466"/>
      <c r="J31" s="466"/>
      <c r="K31" s="466"/>
    </row>
    <row r="32" spans="2:11" hidden="1" outlineLevel="1">
      <c r="B32" s="1035" t="s">
        <v>522</v>
      </c>
      <c r="C32" s="1045"/>
      <c r="D32" s="1046"/>
      <c r="G32" s="485"/>
    </row>
    <row r="33" spans="2:7" collapsed="1">
      <c r="B33" s="1032" t="s">
        <v>523</v>
      </c>
      <c r="C33" s="1047">
        <v>1486.5</v>
      </c>
      <c r="D33" s="1048">
        <v>16254.93</v>
      </c>
      <c r="G33" s="485"/>
    </row>
    <row r="34" spans="2:7" ht="15.75" thickBot="1">
      <c r="B34" s="1418" t="s">
        <v>524</v>
      </c>
      <c r="C34" s="1419">
        <v>0</v>
      </c>
      <c r="D34" s="1420">
        <v>0</v>
      </c>
      <c r="G34" s="485"/>
    </row>
    <row r="35" spans="2:7" ht="15.75" hidden="1" outlineLevel="1" thickBot="1">
      <c r="B35" s="1425" t="s">
        <v>525</v>
      </c>
      <c r="C35" s="1426"/>
      <c r="D35" s="1427"/>
      <c r="G35" s="485"/>
    </row>
    <row r="36" spans="2:7" ht="15.75" collapsed="1" thickBot="1">
      <c r="B36" s="1049" t="s">
        <v>526</v>
      </c>
      <c r="C36" s="1050">
        <v>2598400.8078089692</v>
      </c>
      <c r="D36" s="1051">
        <v>9104217.5099999998</v>
      </c>
      <c r="F36" s="479"/>
      <c r="G36" s="833"/>
    </row>
    <row r="37" spans="2:7">
      <c r="B37" s="1052" t="s">
        <v>527</v>
      </c>
      <c r="C37" s="1053"/>
      <c r="D37" s="1054"/>
      <c r="G37" s="485"/>
    </row>
    <row r="38" spans="2:7">
      <c r="B38" s="1029" t="s">
        <v>528</v>
      </c>
      <c r="C38" s="1030">
        <v>-44382637.067999996</v>
      </c>
      <c r="D38" s="1031">
        <v>-5285606.99</v>
      </c>
      <c r="F38" s="723"/>
      <c r="G38" s="485"/>
    </row>
    <row r="39" spans="2:7" hidden="1" outlineLevel="1">
      <c r="B39" s="1035" t="s">
        <v>529</v>
      </c>
      <c r="C39" s="1045"/>
      <c r="D39" s="1046"/>
      <c r="G39" s="485"/>
    </row>
    <row r="40" spans="2:7" collapsed="1">
      <c r="B40" s="1032" t="s">
        <v>530</v>
      </c>
      <c r="C40" s="1040">
        <v>-21244337.068000004</v>
      </c>
      <c r="D40" s="1041">
        <v>-2870300.89</v>
      </c>
      <c r="G40" s="485"/>
    </row>
    <row r="41" spans="2:7">
      <c r="B41" s="1032" t="s">
        <v>531</v>
      </c>
      <c r="C41" s="1040">
        <v>-23138299.999999993</v>
      </c>
      <c r="D41" s="1041">
        <v>-2415306.12</v>
      </c>
      <c r="G41" s="485"/>
    </row>
    <row r="42" spans="2:7">
      <c r="B42" s="1032" t="s">
        <v>532</v>
      </c>
      <c r="C42" s="1040">
        <v>0</v>
      </c>
      <c r="D42" s="1044">
        <v>0.03</v>
      </c>
      <c r="G42" s="485"/>
    </row>
    <row r="43" spans="2:7" hidden="1" outlineLevel="1">
      <c r="B43" s="1039" t="s">
        <v>533</v>
      </c>
      <c r="C43" s="1045"/>
      <c r="D43" s="1046"/>
      <c r="G43" s="485"/>
    </row>
    <row r="44" spans="2:7" hidden="1" outlineLevel="1">
      <c r="B44" s="1039" t="s">
        <v>534</v>
      </c>
      <c r="C44" s="1045"/>
      <c r="D44" s="1046"/>
      <c r="G44" s="485"/>
    </row>
    <row r="45" spans="2:7" hidden="1" outlineLevel="1">
      <c r="B45" s="1039" t="s">
        <v>535</v>
      </c>
      <c r="C45" s="1045"/>
      <c r="D45" s="1046"/>
      <c r="G45" s="485"/>
    </row>
    <row r="46" spans="2:7" hidden="1" outlineLevel="1">
      <c r="B46" s="1039" t="s">
        <v>536</v>
      </c>
      <c r="C46" s="1045"/>
      <c r="D46" s="1046"/>
      <c r="G46" s="485"/>
    </row>
    <row r="47" spans="2:7" collapsed="1">
      <c r="B47" s="1029" t="s">
        <v>537</v>
      </c>
      <c r="C47" s="1030">
        <v>0</v>
      </c>
      <c r="D47" s="1031">
        <v>77619.429999999993</v>
      </c>
      <c r="G47" s="485"/>
    </row>
    <row r="48" spans="2:7">
      <c r="B48" s="1055" t="s">
        <v>529</v>
      </c>
      <c r="C48" s="1040">
        <v>0</v>
      </c>
      <c r="D48" s="1044">
        <v>0</v>
      </c>
      <c r="G48" s="485"/>
    </row>
    <row r="49" spans="2:7" hidden="1" outlineLevel="1">
      <c r="B49" s="1035" t="s">
        <v>530</v>
      </c>
      <c r="C49" s="1045"/>
      <c r="D49" s="1046"/>
      <c r="G49" s="485"/>
    </row>
    <row r="50" spans="2:7" hidden="1" outlineLevel="1">
      <c r="B50" s="1035" t="s">
        <v>531</v>
      </c>
      <c r="C50" s="1045"/>
      <c r="D50" s="1046"/>
      <c r="G50" s="485"/>
    </row>
    <row r="51" spans="2:7" hidden="1" outlineLevel="1">
      <c r="B51" s="1039" t="s">
        <v>532</v>
      </c>
      <c r="C51" s="1045"/>
      <c r="D51" s="1046"/>
      <c r="G51" s="485"/>
    </row>
    <row r="52" spans="2:7" ht="15.75" collapsed="1" thickBot="1">
      <c r="B52" s="1418" t="s">
        <v>533</v>
      </c>
      <c r="C52" s="1424">
        <v>0</v>
      </c>
      <c r="D52" s="1420">
        <v>77619.429999999993</v>
      </c>
      <c r="G52" s="485"/>
    </row>
    <row r="53" spans="2:7" ht="15.75" hidden="1" outlineLevel="1" thickBot="1">
      <c r="B53" s="1421" t="s">
        <v>534</v>
      </c>
      <c r="C53" s="1422"/>
      <c r="D53" s="1423"/>
      <c r="G53" s="485"/>
    </row>
    <row r="54" spans="2:7" ht="15.75" hidden="1" outlineLevel="1" thickBot="1">
      <c r="B54" s="1039" t="s">
        <v>535</v>
      </c>
      <c r="C54" s="1045"/>
      <c r="D54" s="1046"/>
      <c r="G54" s="485"/>
    </row>
    <row r="55" spans="2:7" ht="15.75" hidden="1" outlineLevel="1" thickBot="1">
      <c r="B55" s="1057" t="s">
        <v>536</v>
      </c>
      <c r="C55" s="1058"/>
      <c r="D55" s="1059"/>
      <c r="G55" s="485"/>
    </row>
    <row r="56" spans="2:7" ht="15.75" collapsed="1" thickBot="1">
      <c r="B56" s="1049" t="s">
        <v>538</v>
      </c>
      <c r="C56" s="1050">
        <f>C38+C47</f>
        <v>-44382637.067999996</v>
      </c>
      <c r="D56" s="1051">
        <f>D38+D47</f>
        <v>-5207987.5600000005</v>
      </c>
      <c r="F56" s="479"/>
      <c r="G56" s="833"/>
    </row>
    <row r="57" spans="2:7">
      <c r="B57" s="1052" t="s">
        <v>539</v>
      </c>
      <c r="C57" s="1053"/>
      <c r="D57" s="1054"/>
      <c r="G57" s="485"/>
    </row>
    <row r="58" spans="2:7">
      <c r="B58" s="1029" t="s">
        <v>540</v>
      </c>
      <c r="C58" s="1030">
        <v>6887244.8718630001</v>
      </c>
      <c r="D58" s="1031">
        <v>0</v>
      </c>
      <c r="F58" s="479"/>
      <c r="G58" s="833"/>
    </row>
    <row r="59" spans="2:7">
      <c r="B59" s="1032" t="s">
        <v>541</v>
      </c>
      <c r="C59" s="1040">
        <v>0</v>
      </c>
      <c r="D59" s="1041">
        <v>0</v>
      </c>
      <c r="G59" s="485"/>
    </row>
    <row r="60" spans="2:7">
      <c r="B60" s="1032" t="s">
        <v>542</v>
      </c>
      <c r="C60" s="1040">
        <v>0</v>
      </c>
      <c r="D60" s="1041">
        <v>0</v>
      </c>
      <c r="G60" s="485"/>
    </row>
    <row r="61" spans="2:7" hidden="1" outlineLevel="1">
      <c r="B61" s="1035" t="s">
        <v>543</v>
      </c>
      <c r="C61" s="1040"/>
      <c r="D61" s="1041"/>
      <c r="G61" s="485"/>
    </row>
    <row r="62" spans="2:7" hidden="1" outlineLevel="1">
      <c r="B62" s="1035" t="s">
        <v>544</v>
      </c>
      <c r="C62" s="1040"/>
      <c r="D62" s="1041"/>
      <c r="G62" s="485"/>
    </row>
    <row r="63" spans="2:7" collapsed="1">
      <c r="B63" s="1038" t="s">
        <v>545</v>
      </c>
      <c r="C63" s="1040">
        <v>6887244.8718630001</v>
      </c>
      <c r="D63" s="1044">
        <v>0</v>
      </c>
      <c r="G63" s="485"/>
    </row>
    <row r="64" spans="2:7">
      <c r="B64" s="1029" t="s">
        <v>546</v>
      </c>
      <c r="C64" s="1030">
        <v>41481976.807467461</v>
      </c>
      <c r="D64" s="1031">
        <v>9862859.5299999993</v>
      </c>
      <c r="F64" s="479"/>
      <c r="G64" s="833"/>
    </row>
    <row r="65" spans="2:7">
      <c r="B65" s="1060" t="s">
        <v>547</v>
      </c>
      <c r="C65" s="1030">
        <v>47708500.000000402</v>
      </c>
      <c r="D65" s="1031">
        <v>15000000</v>
      </c>
      <c r="G65" s="485"/>
    </row>
    <row r="66" spans="2:7" hidden="1" outlineLevel="1">
      <c r="B66" s="1039" t="s">
        <v>548</v>
      </c>
      <c r="C66" s="1045"/>
      <c r="D66" s="1046"/>
      <c r="G66" s="485"/>
    </row>
    <row r="67" spans="2:7" collapsed="1">
      <c r="B67" s="1038" t="s">
        <v>549</v>
      </c>
      <c r="C67" s="1040">
        <v>47708500.000000402</v>
      </c>
      <c r="D67" s="1044">
        <v>15000000</v>
      </c>
      <c r="G67" s="485"/>
    </row>
    <row r="68" spans="2:7" hidden="1" outlineLevel="1">
      <c r="B68" s="1039" t="s">
        <v>550</v>
      </c>
      <c r="C68" s="1040"/>
      <c r="D68" s="1044"/>
      <c r="G68" s="485"/>
    </row>
    <row r="69" spans="2:7" hidden="1" outlineLevel="1">
      <c r="B69" s="1039" t="s">
        <v>551</v>
      </c>
      <c r="C69" s="1040"/>
      <c r="D69" s="1044"/>
      <c r="G69" s="485"/>
    </row>
    <row r="70" spans="2:7" collapsed="1">
      <c r="B70" s="1038" t="s">
        <v>552</v>
      </c>
      <c r="C70" s="1040">
        <v>0</v>
      </c>
      <c r="D70" s="1044">
        <v>0</v>
      </c>
      <c r="G70" s="485"/>
    </row>
    <row r="71" spans="2:7">
      <c r="B71" s="1060" t="s">
        <v>553</v>
      </c>
      <c r="C71" s="1042">
        <v>-6226523.1925329389</v>
      </c>
      <c r="D71" s="1043">
        <v>-5137140.47</v>
      </c>
      <c r="G71" s="485"/>
    </row>
    <row r="72" spans="2:7" hidden="1" outlineLevel="1">
      <c r="B72" s="1039" t="s">
        <v>554</v>
      </c>
      <c r="C72" s="1040"/>
      <c r="D72" s="1044"/>
      <c r="G72" s="485"/>
    </row>
    <row r="73" spans="2:7" collapsed="1">
      <c r="B73" s="1038" t="s">
        <v>555</v>
      </c>
      <c r="C73" s="1040">
        <v>-6226523.1925329389</v>
      </c>
      <c r="D73" s="1041">
        <v>-5137140.47</v>
      </c>
      <c r="G73" s="485"/>
    </row>
    <row r="74" spans="2:7">
      <c r="B74" s="1038" t="s">
        <v>556</v>
      </c>
      <c r="C74" s="1040">
        <v>0</v>
      </c>
      <c r="D74" s="1044">
        <v>314711.82</v>
      </c>
      <c r="G74" s="485"/>
    </row>
    <row r="75" spans="2:7" hidden="1" outlineLevel="1">
      <c r="B75" s="1039" t="s">
        <v>557</v>
      </c>
      <c r="C75" s="1045"/>
      <c r="D75" s="1061"/>
      <c r="G75" s="485"/>
    </row>
    <row r="76" spans="2:7" ht="15.75" collapsed="1" thickBot="1">
      <c r="B76" s="1418" t="s">
        <v>558</v>
      </c>
      <c r="C76" s="1419">
        <v>0</v>
      </c>
      <c r="D76" s="1420">
        <v>-33957.56</v>
      </c>
      <c r="G76" s="485"/>
    </row>
    <row r="77" spans="2:7" ht="15.75" hidden="1" outlineLevel="1" thickBot="1">
      <c r="B77" s="1415" t="s">
        <v>559</v>
      </c>
      <c r="C77" s="1416">
        <v>0</v>
      </c>
      <c r="D77" s="1417">
        <v>0</v>
      </c>
      <c r="G77" s="485"/>
    </row>
    <row r="78" spans="2:7" ht="15.75" hidden="1" outlineLevel="1" thickBot="1">
      <c r="B78" s="1035" t="s">
        <v>560</v>
      </c>
      <c r="C78" s="1045"/>
      <c r="D78" s="1046"/>
      <c r="G78" s="485"/>
    </row>
    <row r="79" spans="2:7" ht="15.75" hidden="1" outlineLevel="1" thickBot="1">
      <c r="B79" s="1062" t="s">
        <v>561</v>
      </c>
      <c r="C79" s="1058"/>
      <c r="D79" s="1059"/>
      <c r="G79" s="485"/>
    </row>
    <row r="80" spans="2:7" ht="15.75" collapsed="1" thickBot="1">
      <c r="B80" s="1049" t="s">
        <v>562</v>
      </c>
      <c r="C80" s="1050">
        <v>48369221.679330461</v>
      </c>
      <c r="D80" s="1051">
        <v>9862859.5299999993</v>
      </c>
      <c r="F80" s="479"/>
      <c r="G80" s="833"/>
    </row>
    <row r="81" spans="2:4" ht="15.75" hidden="1" customHeight="1" outlineLevel="1">
      <c r="B81" s="1052" t="s">
        <v>563</v>
      </c>
      <c r="C81" s="1063"/>
      <c r="D81" s="1064"/>
    </row>
    <row r="82" spans="2:4" collapsed="1">
      <c r="B82" s="1065" t="s">
        <v>564</v>
      </c>
      <c r="C82" s="1066">
        <v>6584985.4191394374</v>
      </c>
      <c r="D82" s="1067">
        <v>13759089.48</v>
      </c>
    </row>
    <row r="83" spans="2:4">
      <c r="B83" s="1032" t="s">
        <v>565</v>
      </c>
      <c r="C83" s="1033">
        <v>28162579.02</v>
      </c>
      <c r="D83" s="1041">
        <v>14403489.539999999</v>
      </c>
    </row>
    <row r="84" spans="2:4" ht="15.75" thickBot="1">
      <c r="B84" s="1068" t="s">
        <v>566</v>
      </c>
      <c r="C84" s="1069">
        <v>34747564.439999998</v>
      </c>
      <c r="D84" s="1070">
        <v>28162579.02</v>
      </c>
    </row>
    <row r="85" spans="2:4" s="456" customFormat="1">
      <c r="B85" s="1072"/>
      <c r="C85" s="1072"/>
      <c r="D85" s="1072"/>
    </row>
    <row r="86" spans="2:4" s="456" customFormat="1">
      <c r="C86" s="563"/>
      <c r="D86" s="563"/>
    </row>
    <row r="87" spans="2:4" s="456" customFormat="1"/>
    <row r="88" spans="2:4" s="456" customFormat="1"/>
    <row r="89" spans="2:4" s="456" customFormat="1"/>
    <row r="90" spans="2:4" s="456" customFormat="1"/>
    <row r="91" spans="2:4" s="456" customFormat="1"/>
    <row r="92" spans="2:4" s="456" customFormat="1"/>
    <row r="93" spans="2:4" s="456" customFormat="1"/>
    <row r="94" spans="2:4" s="456" customFormat="1"/>
    <row r="95" spans="2:4" s="456" customFormat="1"/>
    <row r="96" spans="2:4" s="456" customFormat="1"/>
    <row r="97" s="456" customFormat="1"/>
    <row r="98" s="456" customFormat="1"/>
    <row r="99" s="456" customFormat="1"/>
    <row r="100" s="456" customFormat="1"/>
    <row r="101" s="456" customFormat="1"/>
    <row r="102" s="456" customFormat="1"/>
    <row r="103" s="456" customFormat="1"/>
    <row r="104" s="456" customFormat="1"/>
    <row r="105" s="456" customFormat="1"/>
    <row r="106" s="456" customFormat="1"/>
    <row r="107" s="456" customFormat="1"/>
    <row r="108" s="456" customFormat="1"/>
  </sheetData>
  <mergeCells count="7">
    <mergeCell ref="B8:D8"/>
    <mergeCell ref="B2:D2"/>
    <mergeCell ref="B3:C3"/>
    <mergeCell ref="B4:C4"/>
    <mergeCell ref="B5:D5"/>
    <mergeCell ref="B6:D6"/>
    <mergeCell ref="B7:D7"/>
  </mergeCells>
  <pageMargins left="0.7" right="0.7" top="0.75" bottom="0.75" header="0.3" footer="0.3"/>
  <pageSetup paperSize="9" scale="65" orientation="portrait" r:id="rId1"/>
  <colBreaks count="1" manualBreakCount="1">
    <brk id="4" min="1" max="83" man="1"/>
  </colBreaks>
  <drawing r:id="rId2"/>
</worksheet>
</file>

<file path=xl/worksheets/sheet5.xml><?xml version="1.0" encoding="utf-8"?>
<worksheet xmlns="http://schemas.openxmlformats.org/spreadsheetml/2006/main" xmlns:r="http://schemas.openxmlformats.org/officeDocument/2006/relationships">
  <sheetPr>
    <tabColor rgb="FFFFFF00"/>
  </sheetPr>
  <dimension ref="B1:AC39"/>
  <sheetViews>
    <sheetView zoomScale="85" zoomScaleNormal="85" workbookViewId="0">
      <selection activeCell="A47" sqref="A47:XFD47"/>
    </sheetView>
  </sheetViews>
  <sheetFormatPr baseColWidth="10" defaultColWidth="11.42578125" defaultRowHeight="15"/>
  <cols>
    <col min="1" max="1" width="3" style="456" customWidth="1"/>
    <col min="2" max="2" width="53.28515625" style="456" bestFit="1" customWidth="1"/>
    <col min="3" max="5" width="16.85546875" style="456" customWidth="1"/>
    <col min="6" max="6" width="13.42578125" style="456" customWidth="1"/>
    <col min="7" max="9" width="16.85546875" style="456" customWidth="1"/>
    <col min="10" max="10" width="12.42578125" style="456" bestFit="1" customWidth="1"/>
    <col min="11" max="12" width="2.7109375" style="456" customWidth="1"/>
    <col min="13" max="13" width="45.28515625" style="456" hidden="1" customWidth="1"/>
    <col min="14" max="15" width="18.140625" style="456" hidden="1" customWidth="1"/>
    <col min="16" max="16" width="0" style="757" hidden="1" customWidth="1"/>
    <col min="17" max="17" width="13.7109375" style="757" hidden="1" customWidth="1"/>
    <col min="18" max="20" width="23" style="757" hidden="1" customWidth="1"/>
    <col min="21" max="21" width="13.7109375" style="757" hidden="1" customWidth="1"/>
    <col min="22" max="22" width="13.140625" style="456" bestFit="1" customWidth="1"/>
    <col min="23" max="24" width="11.42578125" style="456"/>
    <col min="25" max="25" width="32.28515625" style="456" bestFit="1" customWidth="1"/>
    <col min="26" max="27" width="13.42578125" style="456" bestFit="1" customWidth="1"/>
    <col min="28" max="28" width="15.5703125" style="456" customWidth="1"/>
    <col min="29" max="16384" width="11.42578125" style="456"/>
  </cols>
  <sheetData>
    <row r="1" spans="2:29">
      <c r="B1" s="456">
        <v>2022</v>
      </c>
      <c r="M1" s="456" t="s">
        <v>994</v>
      </c>
    </row>
    <row r="2" spans="2:29" ht="15.75" thickBot="1"/>
    <row r="3" spans="2:29" ht="19.5" thickBot="1">
      <c r="B3" s="427" t="s">
        <v>458</v>
      </c>
      <c r="C3" s="428">
        <v>2022</v>
      </c>
      <c r="D3" s="428" t="s">
        <v>961</v>
      </c>
      <c r="E3" s="754" t="s">
        <v>990</v>
      </c>
      <c r="F3" s="753"/>
      <c r="G3" s="754" t="s">
        <v>993</v>
      </c>
      <c r="H3" s="754" t="s">
        <v>991</v>
      </c>
      <c r="I3" s="754" t="s">
        <v>992</v>
      </c>
      <c r="M3" s="427" t="s">
        <v>458</v>
      </c>
      <c r="N3" s="428">
        <v>2022</v>
      </c>
      <c r="O3" s="428" t="s">
        <v>961</v>
      </c>
      <c r="P3" s="758" t="s">
        <v>990</v>
      </c>
      <c r="Q3" s="759"/>
      <c r="R3" s="758" t="s">
        <v>993</v>
      </c>
      <c r="S3" s="758" t="s">
        <v>991</v>
      </c>
      <c r="T3" s="758" t="s">
        <v>992</v>
      </c>
    </row>
    <row r="4" spans="2:29" ht="15.75" thickBot="1">
      <c r="B4" s="430" t="s">
        <v>459</v>
      </c>
      <c r="C4" s="450" t="e">
        <f>'1.-2.Balance'!B56</f>
        <v>#REF!</v>
      </c>
      <c r="D4" s="450" t="e">
        <f>'1.-2.Balance'!C56</f>
        <v>#REF!</v>
      </c>
      <c r="E4" s="480"/>
      <c r="H4" s="480"/>
      <c r="M4" s="430" t="s">
        <v>459</v>
      </c>
      <c r="N4" s="450" t="e">
        <f>'1.-2.Balance'!M56</f>
        <v>#REF!</v>
      </c>
      <c r="O4" s="450">
        <f>'1.-2.Balance'!G56</f>
        <v>47757.859079999995</v>
      </c>
      <c r="P4" s="760"/>
      <c r="S4" s="760"/>
      <c r="Z4" s="456" t="s">
        <v>1000</v>
      </c>
      <c r="AA4" s="456" t="s">
        <v>1001</v>
      </c>
    </row>
    <row r="5" spans="2:29">
      <c r="B5" s="432" t="s">
        <v>460</v>
      </c>
      <c r="C5" s="433">
        <f>'1.-2.Balance'!B57</f>
        <v>27216.689086143786</v>
      </c>
      <c r="D5" s="433">
        <f>'1.-2.Balance'!C57</f>
        <v>26215.185354730558</v>
      </c>
      <c r="E5" s="480"/>
      <c r="H5" s="480"/>
      <c r="M5" s="432" t="s">
        <v>460</v>
      </c>
      <c r="N5" s="433">
        <f>'1.-2.Balance'!M57</f>
        <v>26215.185354730558</v>
      </c>
      <c r="O5" s="433">
        <f>'1.-2.Balance'!G57</f>
        <v>26762.363049999993</v>
      </c>
      <c r="P5" s="760"/>
      <c r="S5" s="760"/>
      <c r="Y5" s="456" t="s">
        <v>996</v>
      </c>
      <c r="Z5" s="480">
        <f>'3. P y G PRESENTACION'!B12</f>
        <v>4657362.7009062031</v>
      </c>
      <c r="AA5" s="480" t="e">
        <f>SUM(Tesorería!I6:T6)</f>
        <v>#REF!</v>
      </c>
      <c r="AB5" s="480" t="e">
        <f>Z5-AA5</f>
        <v>#REF!</v>
      </c>
      <c r="AC5" s="456" t="s">
        <v>1002</v>
      </c>
    </row>
    <row r="6" spans="2:29">
      <c r="B6" s="437" t="s">
        <v>461</v>
      </c>
      <c r="C6" s="451">
        <f>'1.-2.Balance'!B58</f>
        <v>15608.538400000001</v>
      </c>
      <c r="D6" s="451">
        <f>'1.-2.Balance'!C58</f>
        <v>15608.538400000001</v>
      </c>
      <c r="E6" s="480">
        <f t="shared" ref="E6:E16" si="0">C6-D6</f>
        <v>0</v>
      </c>
      <c r="H6" s="480"/>
      <c r="M6" s="437" t="s">
        <v>461</v>
      </c>
      <c r="N6" s="451">
        <f>'1.-2.Balance'!M58</f>
        <v>15608.538400000001</v>
      </c>
      <c r="O6" s="451">
        <f>'1.-2.Balance'!G58</f>
        <v>15608.538400000001</v>
      </c>
      <c r="P6" s="760">
        <f t="shared" ref="P6:P16" si="1">N6-O6</f>
        <v>0</v>
      </c>
      <c r="S6" s="760"/>
      <c r="Y6" s="456" t="s">
        <v>997</v>
      </c>
      <c r="Z6" s="480">
        <f>'3. P y G PRESENTACION'!B13</f>
        <v>29828046.530000001</v>
      </c>
      <c r="AA6" s="480" t="e">
        <f>SUM(Tesorería!I41:T42,Tesorería!I44:T45,Tesorería!I51:T52)+Tesorería!T43+Tesorería!L53</f>
        <v>#REF!</v>
      </c>
      <c r="AB6" s="763" t="e">
        <f>Z6-AA6</f>
        <v>#REF!</v>
      </c>
      <c r="AC6" s="456" t="s">
        <v>1003</v>
      </c>
    </row>
    <row r="7" spans="2:29">
      <c r="B7" s="437" t="s">
        <v>465</v>
      </c>
      <c r="C7" s="451">
        <f>'1.-2.Balance'!B62</f>
        <v>0</v>
      </c>
      <c r="D7" s="451">
        <f>'1.-2.Balance'!C62</f>
        <v>0</v>
      </c>
      <c r="E7" s="480">
        <f t="shared" si="0"/>
        <v>0</v>
      </c>
      <c r="H7" s="480"/>
      <c r="M7" s="437" t="s">
        <v>465</v>
      </c>
      <c r="N7" s="451">
        <f>'1.-2.Balance'!M62</f>
        <v>0</v>
      </c>
      <c r="O7" s="451">
        <f>'1.-2.Balance'!G62</f>
        <v>990.87227999999982</v>
      </c>
      <c r="P7" s="760">
        <f t="shared" si="1"/>
        <v>-990.87227999999982</v>
      </c>
      <c r="S7" s="760"/>
      <c r="Y7" s="456" t="s">
        <v>998</v>
      </c>
      <c r="Z7" s="480">
        <f>'3. P y G PRESENTACION'!B15</f>
        <v>-7727076.9695539856</v>
      </c>
      <c r="AA7" s="480"/>
      <c r="AB7" s="480"/>
    </row>
    <row r="8" spans="2:29">
      <c r="B8" s="437" t="s">
        <v>467</v>
      </c>
      <c r="C8" s="451">
        <f>'1.-2.Balance'!B64</f>
        <v>1001.5037314132265</v>
      </c>
      <c r="D8" s="451">
        <f>'1.-2.Balance'!C64</f>
        <v>3685.0963647305571</v>
      </c>
      <c r="E8" s="480">
        <f t="shared" si="0"/>
        <v>-2683.5926333173306</v>
      </c>
      <c r="F8" s="756" t="e">
        <f>E8*1000-G8</f>
        <v>#REF!</v>
      </c>
      <c r="G8" s="755" t="e">
        <f>SUM(H8:I8)</f>
        <v>#REF!</v>
      </c>
      <c r="H8" s="480" t="e">
        <f>SUM(Tesorería!I6:T8,Tesorería!I11:T15,Tesorería!I19:T22,Tesorería!I38:T39,Tesorería!I41:T42,Tesorería!I44:T45,Tesorería!I48:T48,Tesorería!I50:T52)+Tesorería!L53</f>
        <v>#REF!</v>
      </c>
      <c r="I8" s="480" t="e">
        <f>-('3. P y G PRESENTACION'!B11+'3. P y G PRESENTACION'!#REF!+'3. P y G PRESENTACION'!B15+'3. P y G PRESENTACION'!B19+'3. P y G PRESENTACION'!B22+'3. P y G PRESENTACION'!B25)</f>
        <v>#REF!</v>
      </c>
      <c r="M8" s="437" t="s">
        <v>467</v>
      </c>
      <c r="N8" s="451">
        <f>'1.-2.Balance'!M64</f>
        <v>3685.0963647305571</v>
      </c>
      <c r="O8" s="451">
        <f>'1.-2.Balance'!G64</f>
        <v>4232.2740599999934</v>
      </c>
      <c r="P8" s="760">
        <f t="shared" si="1"/>
        <v>-547.1776952694363</v>
      </c>
      <c r="Q8" s="761">
        <f>P8*1000-R8</f>
        <v>-14813043.050623419</v>
      </c>
      <c r="R8" s="762">
        <f>SUM(S8:T8)</f>
        <v>14265865.355353983</v>
      </c>
      <c r="S8" s="760">
        <f>SUM(Tesorería!C6:H8,Tesorería!C11:H15,Tesorería!C18:H22,Tesorería!C38:H39,Tesorería!C41:H54)</f>
        <v>14265865.355353983</v>
      </c>
      <c r="T8" s="760"/>
      <c r="V8" s="466">
        <f>'3. P y G PRESENTACION'!B12*0.03</f>
        <v>139720.88102718609</v>
      </c>
      <c r="W8" s="456" t="s">
        <v>995</v>
      </c>
      <c r="Y8" s="456" t="s">
        <v>650</v>
      </c>
      <c r="Z8" s="480">
        <f>'3. P y G PRESENTACION'!B25</f>
        <v>-10601630.989435935</v>
      </c>
      <c r="AA8" s="480"/>
      <c r="AB8" s="480"/>
    </row>
    <row r="9" spans="2:29" ht="15.75" thickBot="1">
      <c r="B9" s="440" t="s">
        <v>471</v>
      </c>
      <c r="C9" s="451" t="e">
        <f>'1.-2.Balance'!B68</f>
        <v>#REF!</v>
      </c>
      <c r="D9" s="451" t="e">
        <f>'1.-2.Balance'!C68</f>
        <v>#REF!</v>
      </c>
      <c r="E9" s="480" t="e">
        <f t="shared" si="0"/>
        <v>#REF!</v>
      </c>
      <c r="F9" s="756" t="e">
        <f>E9*1000-G9</f>
        <v>#REF!</v>
      </c>
      <c r="G9" s="755" t="e">
        <f>SUM(H9:I9)</f>
        <v>#REF!</v>
      </c>
      <c r="H9" s="480" t="e">
        <f>Tesorería!P40</f>
        <v>#REF!</v>
      </c>
      <c r="I9" s="480">
        <f>-'3. P y G PRESENTACION'!B32</f>
        <v>-1891811.073361621</v>
      </c>
      <c r="M9" s="440" t="s">
        <v>471</v>
      </c>
      <c r="N9" s="451" t="e">
        <f>'1.-2.Balance'!M68</f>
        <v>#REF!</v>
      </c>
      <c r="O9" s="451">
        <f>'1.-2.Balance'!G68</f>
        <v>20995.496029999998</v>
      </c>
      <c r="P9" s="760" t="e">
        <f t="shared" si="1"/>
        <v>#REF!</v>
      </c>
      <c r="Q9" s="761" t="e">
        <f>P9*1000-R9</f>
        <v>#REF!</v>
      </c>
      <c r="R9" s="762">
        <f>SUM(S9:T9)</f>
        <v>0</v>
      </c>
      <c r="S9" s="760">
        <f>Tesorería!C40</f>
        <v>0</v>
      </c>
      <c r="T9" s="760"/>
      <c r="Z9" s="755">
        <f>SUM(Z7:Z8)</f>
        <v>-18328707.958989922</v>
      </c>
      <c r="AA9" s="755" t="e">
        <f>SUM(Tesorería!I11:T15)</f>
        <v>#REF!</v>
      </c>
      <c r="AB9" s="480" t="e">
        <f t="shared" ref="AB9:AB10" si="2">Z9-AA9</f>
        <v>#REF!</v>
      </c>
    </row>
    <row r="10" spans="2:29" ht="15.75" thickBot="1">
      <c r="B10" s="430" t="s">
        <v>472</v>
      </c>
      <c r="C10" s="450">
        <f>'1.-2.Balance'!B69</f>
        <v>20027652.808534402</v>
      </c>
      <c r="D10" s="450">
        <f>'1.-2.Balance'!C69</f>
        <v>23760.602769465298</v>
      </c>
      <c r="E10" s="480"/>
      <c r="H10" s="480"/>
      <c r="M10" s="430" t="s">
        <v>472</v>
      </c>
      <c r="N10" s="450">
        <f>'1.-2.Balance'!M69</f>
        <v>23760.602769465298</v>
      </c>
      <c r="O10" s="450">
        <f>'1.-2.Balance'!G69</f>
        <v>25655.21056</v>
      </c>
      <c r="P10" s="760"/>
      <c r="S10" s="760"/>
      <c r="Y10" s="456" t="s">
        <v>999</v>
      </c>
      <c r="Z10" s="480">
        <f>'3. P y G PRESENTACION'!B22</f>
        <v>-37209894.210622266</v>
      </c>
      <c r="AA10" s="480" t="e">
        <f>SUM(Tesorería!I18:T22)</f>
        <v>#REF!</v>
      </c>
      <c r="AB10" s="480" t="e">
        <f t="shared" si="2"/>
        <v>#REF!</v>
      </c>
    </row>
    <row r="11" spans="2:29">
      <c r="B11" s="437" t="s">
        <v>477</v>
      </c>
      <c r="C11" s="438">
        <f>'1.-2.Balance'!B74</f>
        <v>20027652.808534402</v>
      </c>
      <c r="D11" s="438">
        <f>'1.-2.Balance'!C74</f>
        <v>23760.602769465298</v>
      </c>
      <c r="E11" s="480"/>
      <c r="H11" s="480"/>
      <c r="M11" s="437" t="s">
        <v>477</v>
      </c>
      <c r="N11" s="438">
        <f>'1.-2.Balance'!M74</f>
        <v>23760.602769465298</v>
      </c>
      <c r="O11" s="438">
        <f>'1.-2.Balance'!G74</f>
        <v>25655.21056</v>
      </c>
      <c r="P11" s="760"/>
      <c r="S11" s="760"/>
    </row>
    <row r="12" spans="2:29">
      <c r="B12" s="434" t="s">
        <v>479</v>
      </c>
      <c r="C12" s="452">
        <f>'1.-2.Balance'!B76</f>
        <v>20027573.657624401</v>
      </c>
      <c r="D12" s="452">
        <f>'1.-2.Balance'!C76</f>
        <v>23681.451859465298</v>
      </c>
      <c r="E12" s="480">
        <f t="shared" si="0"/>
        <v>20003892.205764934</v>
      </c>
      <c r="F12" s="756">
        <f>(E12+E16)*1000-G12</f>
        <v>23623817976.34898</v>
      </c>
      <c r="G12" s="755">
        <f>SUM(H12:I12)</f>
        <v>29912817.532978505</v>
      </c>
      <c r="H12" s="480">
        <f>SUM(Tesorería!I34:T34,Tesorería!I31:T32,Tesorería!I23:T28)</f>
        <v>27857317.589607812</v>
      </c>
      <c r="I12" s="480">
        <f>-(+'3. P y G PRESENTACION'!B37+'3. P y G PRESENTACION'!B39)</f>
        <v>2055499.9433706906</v>
      </c>
      <c r="M12" s="434" t="s">
        <v>479</v>
      </c>
      <c r="N12" s="452">
        <f>'1.-2.Balance'!M76</f>
        <v>23681.451859465298</v>
      </c>
      <c r="O12" s="452">
        <f>'1.-2.Balance'!G76</f>
        <v>25576.059649999999</v>
      </c>
      <c r="P12" s="760">
        <f t="shared" si="1"/>
        <v>-1894.6077905347011</v>
      </c>
      <c r="Q12" s="761">
        <f>(P12+P16)*1000-R12</f>
        <v>462904.27385672904</v>
      </c>
      <c r="R12" s="762">
        <f>SUM(S12:T12)</f>
        <v>-1156746.47</v>
      </c>
      <c r="S12" s="760">
        <f>SUM(Tesorería!C23:H28,Tesorería!C31:H33)</f>
        <v>-1156746.47</v>
      </c>
      <c r="T12" s="760"/>
    </row>
    <row r="13" spans="2:29">
      <c r="B13" s="434" t="s">
        <v>481</v>
      </c>
      <c r="C13" s="452">
        <f>'1.-2.Balance'!B78</f>
        <v>79.15091000000001</v>
      </c>
      <c r="D13" s="452">
        <f>'1.-2.Balance'!C78</f>
        <v>79.15091000000001</v>
      </c>
      <c r="E13" s="480"/>
      <c r="H13" s="480"/>
      <c r="M13" s="434" t="s">
        <v>481</v>
      </c>
      <c r="N13" s="452">
        <f>'1.-2.Balance'!M78</f>
        <v>79.15091000000001</v>
      </c>
      <c r="O13" s="452">
        <f>'1.-2.Balance'!G78</f>
        <v>79.15091000000001</v>
      </c>
      <c r="P13" s="760"/>
      <c r="S13" s="760"/>
    </row>
    <row r="14" spans="2:29" ht="15.75" thickBot="1">
      <c r="B14" s="430" t="s">
        <v>487</v>
      </c>
      <c r="C14" s="450">
        <f>'1.-2.Balance'!B84</f>
        <v>3664289.3616414131</v>
      </c>
      <c r="D14" s="450">
        <f>'1.-2.Balance'!C84</f>
        <v>14450.773524391432</v>
      </c>
      <c r="E14" s="480"/>
      <c r="H14" s="480"/>
      <c r="M14" s="430" t="s">
        <v>487</v>
      </c>
      <c r="N14" s="450">
        <f>'1.-2.Balance'!M84</f>
        <v>14450.773524391432</v>
      </c>
      <c r="O14" s="450">
        <f>'1.-2.Balance'!G84</f>
        <v>13250.007930000002</v>
      </c>
      <c r="P14" s="760"/>
      <c r="S14" s="760"/>
    </row>
    <row r="15" spans="2:29">
      <c r="B15" s="437" t="s">
        <v>490</v>
      </c>
      <c r="C15" s="438">
        <f>'1.-2.Balance'!B90</f>
        <v>3653901.142031413</v>
      </c>
      <c r="D15" s="438">
        <f>'1.-2.Balance'!C90</f>
        <v>4062.5539143914298</v>
      </c>
      <c r="E15" s="480"/>
      <c r="H15" s="480"/>
      <c r="M15" s="437" t="s">
        <v>490</v>
      </c>
      <c r="N15" s="438">
        <f>'1.-2.Balance'!M90</f>
        <v>4062.5539143914298</v>
      </c>
      <c r="O15" s="438">
        <f>'1.-2.Balance'!G90</f>
        <v>2861.7883199999997</v>
      </c>
      <c r="P15" s="760"/>
      <c r="S15" s="760"/>
    </row>
    <row r="16" spans="2:29">
      <c r="B16" s="434" t="s">
        <v>479</v>
      </c>
      <c r="C16" s="452">
        <f>'1.-2.Balance'!B92</f>
        <v>3653878.1629614132</v>
      </c>
      <c r="D16" s="452">
        <f>'1.-2.Balance'!C92</f>
        <v>4039.5748443914299</v>
      </c>
      <c r="E16" s="480">
        <f t="shared" si="0"/>
        <v>3649838.5881170216</v>
      </c>
      <c r="H16" s="480"/>
      <c r="M16" s="434" t="s">
        <v>479</v>
      </c>
      <c r="N16" s="452">
        <f>'1.-2.Balance'!M92</f>
        <v>4039.5748443914299</v>
      </c>
      <c r="O16" s="452">
        <f>'1.-2.Balance'!G92</f>
        <v>2838.8092499999998</v>
      </c>
      <c r="P16" s="760">
        <f t="shared" si="1"/>
        <v>1200.7655943914301</v>
      </c>
      <c r="S16" s="760"/>
    </row>
    <row r="17" spans="2:21">
      <c r="B17" s="434" t="s">
        <v>492</v>
      </c>
      <c r="C17" s="452">
        <f>'1.-2.Balance'!B94</f>
        <v>22.979070000000007</v>
      </c>
      <c r="D17" s="452">
        <f>'1.-2.Balance'!C94</f>
        <v>22.979070000000007</v>
      </c>
      <c r="E17" s="480"/>
      <c r="H17" s="480"/>
      <c r="M17" s="434" t="s">
        <v>492</v>
      </c>
      <c r="N17" s="452">
        <f>'1.-2.Balance'!M94</f>
        <v>22.979070000000007</v>
      </c>
      <c r="O17" s="452">
        <f>'1.-2.Balance'!G94</f>
        <v>22.979070000000007</v>
      </c>
      <c r="P17" s="760"/>
      <c r="S17" s="760"/>
    </row>
    <row r="18" spans="2:21">
      <c r="B18" s="437" t="s">
        <v>494</v>
      </c>
      <c r="C18" s="438">
        <f>'1.-2.Balance'!B96</f>
        <v>8209.1121700000022</v>
      </c>
      <c r="D18" s="438">
        <f>'1.-2.Balance'!C96</f>
        <v>8209.1121700000022</v>
      </c>
      <c r="E18" s="480"/>
      <c r="H18" s="480"/>
      <c r="M18" s="437" t="s">
        <v>494</v>
      </c>
      <c r="N18" s="438">
        <f>'1.-2.Balance'!M96</f>
        <v>8209.1121700000022</v>
      </c>
      <c r="O18" s="438">
        <f>'1.-2.Balance'!G96</f>
        <v>8209.1121700000022</v>
      </c>
      <c r="P18" s="760"/>
      <c r="S18" s="760"/>
    </row>
    <row r="19" spans="2:21">
      <c r="B19" s="434" t="s">
        <v>495</v>
      </c>
      <c r="C19" s="452">
        <f>'1.-2.Balance'!B97</f>
        <v>808.69888000000003</v>
      </c>
      <c r="D19" s="452">
        <f>'1.-2.Balance'!C97</f>
        <v>808.69888000000003</v>
      </c>
      <c r="E19" s="480"/>
      <c r="H19" s="480"/>
      <c r="M19" s="434" t="s">
        <v>495</v>
      </c>
      <c r="N19" s="452">
        <f>'1.-2.Balance'!M97</f>
        <v>808.69888000000003</v>
      </c>
      <c r="O19" s="452">
        <f>'1.-2.Balance'!G97</f>
        <v>808.69888000000003</v>
      </c>
      <c r="P19" s="760"/>
      <c r="S19" s="760"/>
    </row>
    <row r="20" spans="2:21">
      <c r="B20" s="434" t="s">
        <v>496</v>
      </c>
      <c r="C20" s="452">
        <f>'1.-2.Balance'!B98</f>
        <v>7400.4132900000013</v>
      </c>
      <c r="D20" s="452">
        <f>'1.-2.Balance'!C98</f>
        <v>7400.4132900000013</v>
      </c>
      <c r="E20" s="480"/>
      <c r="H20" s="480"/>
      <c r="M20" s="434" t="s">
        <v>496</v>
      </c>
      <c r="N20" s="452">
        <f>'1.-2.Balance'!M98</f>
        <v>7400.4132900000013</v>
      </c>
      <c r="O20" s="452">
        <f>'1.-2.Balance'!G98</f>
        <v>7400.4132900000013</v>
      </c>
      <c r="P20" s="760"/>
      <c r="S20" s="760"/>
    </row>
    <row r="21" spans="2:21">
      <c r="B21" s="437" t="s">
        <v>497</v>
      </c>
      <c r="C21" s="439">
        <f>'1.-2.Balance'!B99</f>
        <v>1705.49152</v>
      </c>
      <c r="D21" s="439">
        <f>'1.-2.Balance'!C99</f>
        <v>1705.49152</v>
      </c>
      <c r="E21" s="480"/>
      <c r="H21" s="480"/>
      <c r="M21" s="437" t="s">
        <v>497</v>
      </c>
      <c r="N21" s="439">
        <f>'1.-2.Balance'!M99</f>
        <v>1705.49152</v>
      </c>
      <c r="O21" s="439">
        <f>'1.-2.Balance'!G99</f>
        <v>1705.49152</v>
      </c>
      <c r="P21" s="760"/>
      <c r="S21" s="760"/>
    </row>
    <row r="22" spans="2:21" ht="19.5" thickBot="1">
      <c r="B22" s="455" t="s">
        <v>499</v>
      </c>
      <c r="C22" s="449" t="e">
        <f>'1.-2.Balance'!B101</f>
        <v>#REF!</v>
      </c>
      <c r="D22" s="449" t="e">
        <f>'1.-2.Balance'!C101</f>
        <v>#REF!</v>
      </c>
      <c r="E22" s="480"/>
      <c r="H22" s="480"/>
      <c r="M22" s="455" t="s">
        <v>499</v>
      </c>
      <c r="N22" s="449" t="e">
        <f>'1.-2.Balance'!M101</f>
        <v>#REF!</v>
      </c>
      <c r="O22" s="449">
        <f>'1.-2.Balance'!G101</f>
        <v>86663.077570000009</v>
      </c>
      <c r="P22" s="760"/>
      <c r="S22" s="760"/>
    </row>
    <row r="23" spans="2:21" ht="15.75" thickBot="1"/>
    <row r="24" spans="2:21" ht="19.5" thickBot="1">
      <c r="B24" s="427" t="s">
        <v>424</v>
      </c>
      <c r="C24" s="428">
        <v>2022</v>
      </c>
      <c r="D24" s="429" t="s">
        <v>961</v>
      </c>
      <c r="M24" s="427" t="s">
        <v>424</v>
      </c>
      <c r="N24" s="428">
        <v>2022</v>
      </c>
      <c r="O24" s="429" t="s">
        <v>961</v>
      </c>
    </row>
    <row r="25" spans="2:21" ht="15.75" thickBot="1">
      <c r="B25" s="430" t="s">
        <v>425</v>
      </c>
      <c r="C25" s="431" t="e">
        <f>'1.-2.Balance'!B10</f>
        <v>#REF!</v>
      </c>
      <c r="D25" s="431" t="e">
        <f>'1.-2.Balance'!C10</f>
        <v>#REF!</v>
      </c>
      <c r="E25" s="480"/>
      <c r="H25" s="480"/>
      <c r="M25" s="430" t="s">
        <v>425</v>
      </c>
      <c r="N25" s="431" t="e">
        <f>'1.-2.Balance'!M10</f>
        <v>#REF!</v>
      </c>
      <c r="O25" s="431">
        <f>'1.-2.Balance'!G10</f>
        <v>58089.271399999998</v>
      </c>
      <c r="P25" s="760"/>
      <c r="S25" s="760"/>
    </row>
    <row r="26" spans="2:21">
      <c r="B26" s="432" t="s">
        <v>426</v>
      </c>
      <c r="C26" s="433" t="e">
        <f>'1.-2.Balance'!B11</f>
        <v>#REF!</v>
      </c>
      <c r="D26" s="433" t="e">
        <f>'1.-2.Balance'!C11</f>
        <v>#REF!</v>
      </c>
      <c r="E26" s="480" t="e">
        <f t="shared" ref="E26:E36" si="3">C26-D26</f>
        <v>#REF!</v>
      </c>
      <c r="F26" s="756" t="e">
        <f>(E26+E27)*1000-G26</f>
        <v>#REF!</v>
      </c>
      <c r="G26" s="755" t="e">
        <f>-SUM(H26:I26)</f>
        <v>#REF!</v>
      </c>
      <c r="H26" s="480" t="e">
        <f>SUM(Tesorería!I29:T30,Tesorería!I16:T17)</f>
        <v>#REF!</v>
      </c>
      <c r="I26" s="480">
        <f>-'3. P y G PRESENTACION'!B28-'3. P y G PRESENTACION'!B14</f>
        <v>3830482.6332050515</v>
      </c>
      <c r="J26" s="756" t="e">
        <f>SUM(I8:I26)+'3. P y G PRESENTACION'!B44</f>
        <v>#REF!</v>
      </c>
      <c r="M26" s="432" t="s">
        <v>426</v>
      </c>
      <c r="N26" s="433" t="e">
        <f>'1.-2.Balance'!M11</f>
        <v>#REF!</v>
      </c>
      <c r="O26" s="433">
        <f>'1.-2.Balance'!G11</f>
        <v>22760.334159999995</v>
      </c>
      <c r="P26" s="760" t="e">
        <f t="shared" ref="P26:P36" si="4">N26-O26</f>
        <v>#REF!</v>
      </c>
      <c r="Q26" s="761" t="e">
        <f>(P26+P27)*1000-R26</f>
        <v>#REF!</v>
      </c>
      <c r="R26" s="762">
        <f>-SUM(S26:T26)</f>
        <v>12191311.789999999</v>
      </c>
      <c r="S26" s="760">
        <f>SUM(Tesorería!C16:H17,Tesorería!C29:H30)</f>
        <v>-12191311.789999999</v>
      </c>
      <c r="T26" s="760"/>
      <c r="U26" s="761" t="e">
        <f>SUM(T8:T26)+'3. P y G PRESENTACION'!#REF!</f>
        <v>#REF!</v>
      </c>
    </row>
    <row r="27" spans="2:21">
      <c r="B27" s="437" t="s">
        <v>431</v>
      </c>
      <c r="C27" s="438" t="e">
        <f>'1.-2.Balance'!B16</f>
        <v>#REF!</v>
      </c>
      <c r="D27" s="438" t="e">
        <f>'1.-2.Balance'!C16</f>
        <v>#REF!</v>
      </c>
      <c r="E27" s="480" t="e">
        <f t="shared" si="3"/>
        <v>#REF!</v>
      </c>
      <c r="H27" s="480"/>
      <c r="M27" s="437" t="s">
        <v>431</v>
      </c>
      <c r="N27" s="438" t="e">
        <f>'1.-2.Balance'!M16</f>
        <v>#REF!</v>
      </c>
      <c r="O27" s="438">
        <f>'1.-2.Balance'!G16</f>
        <v>35198.469219999999</v>
      </c>
      <c r="P27" s="760" t="e">
        <f t="shared" si="4"/>
        <v>#REF!</v>
      </c>
      <c r="S27" s="760"/>
    </row>
    <row r="28" spans="2:21">
      <c r="B28" s="437" t="s">
        <v>437</v>
      </c>
      <c r="C28" s="438">
        <f>'1.-2.Balance'!B23</f>
        <v>24.040580000000002</v>
      </c>
      <c r="D28" s="438">
        <f>'1.-2.Balance'!C23</f>
        <v>24.040580000000002</v>
      </c>
      <c r="E28" s="480"/>
      <c r="H28" s="480"/>
      <c r="M28" s="437" t="s">
        <v>437</v>
      </c>
      <c r="N28" s="438">
        <f>'1.-2.Balance'!M23</f>
        <v>24.040580000000002</v>
      </c>
      <c r="O28" s="438">
        <f>'1.-2.Balance'!G23</f>
        <v>24.040580000000002</v>
      </c>
      <c r="P28" s="760"/>
      <c r="S28" s="760"/>
    </row>
    <row r="29" spans="2:21">
      <c r="B29" s="437" t="s">
        <v>438</v>
      </c>
      <c r="C29" s="438">
        <f>'1.-2.Balance'!B24</f>
        <v>0</v>
      </c>
      <c r="D29" s="438">
        <f>'1.-2.Balance'!C24</f>
        <v>0</v>
      </c>
      <c r="E29" s="480"/>
      <c r="H29" s="480"/>
      <c r="M29" s="437" t="s">
        <v>438</v>
      </c>
      <c r="N29" s="438">
        <f>'1.-2.Balance'!M24</f>
        <v>0</v>
      </c>
      <c r="O29" s="438">
        <f>'1.-2.Balance'!G24</f>
        <v>0</v>
      </c>
      <c r="P29" s="760"/>
      <c r="S29" s="760"/>
    </row>
    <row r="30" spans="2:21" ht="15.75" thickBot="1">
      <c r="B30" s="430" t="s">
        <v>441</v>
      </c>
      <c r="C30" s="431" t="e">
        <f>'1.-2.Balance'!B27</f>
        <v>#REF!</v>
      </c>
      <c r="D30" s="431">
        <f>'1.-2.Balance'!C27</f>
        <v>32641.719101179144</v>
      </c>
      <c r="E30" s="480"/>
      <c r="H30" s="480"/>
      <c r="M30" s="430" t="s">
        <v>441</v>
      </c>
      <c r="N30" s="431">
        <f>'1.-2.Balance'!M27</f>
        <v>32641.719101179144</v>
      </c>
      <c r="O30" s="431">
        <f>'1.-2.Balance'!G27</f>
        <v>28573.897380000002</v>
      </c>
      <c r="P30" s="760"/>
      <c r="S30" s="760"/>
    </row>
    <row r="31" spans="2:21">
      <c r="B31" s="437" t="s">
        <v>447</v>
      </c>
      <c r="C31" s="438">
        <f>'1.-2.Balance'!B34</f>
        <v>759.1960600000001</v>
      </c>
      <c r="D31" s="438">
        <f>'1.-2.Balance'!C34</f>
        <v>759.1960600000001</v>
      </c>
      <c r="E31" s="480"/>
      <c r="H31" s="480"/>
      <c r="M31" s="437" t="s">
        <v>447</v>
      </c>
      <c r="N31" s="438">
        <f>'1.-2.Balance'!M34</f>
        <v>759.1960600000001</v>
      </c>
      <c r="O31" s="438">
        <f>'1.-2.Balance'!G34</f>
        <v>759.1960600000001</v>
      </c>
      <c r="P31" s="760"/>
      <c r="S31" s="760"/>
    </row>
    <row r="32" spans="2:21">
      <c r="B32" s="437" t="s">
        <v>449</v>
      </c>
      <c r="C32" s="438">
        <f>'1.-2.Balance'!B37</f>
        <v>13224.69569</v>
      </c>
      <c r="D32" s="438">
        <f>'1.-2.Balance'!C37</f>
        <v>13224.69569</v>
      </c>
      <c r="E32" s="480"/>
      <c r="H32" s="480"/>
      <c r="M32" s="437" t="s">
        <v>449</v>
      </c>
      <c r="N32" s="438">
        <f>'1.-2.Balance'!M37</f>
        <v>13224.69569</v>
      </c>
      <c r="O32" s="438">
        <f>'1.-2.Balance'!G37</f>
        <v>13224.69569</v>
      </c>
      <c r="P32" s="760"/>
      <c r="S32" s="760"/>
    </row>
    <row r="33" spans="2:19">
      <c r="B33" s="434" t="s">
        <v>450</v>
      </c>
      <c r="C33" s="436">
        <f>'1.-2.Balance'!B38</f>
        <v>2000.49982</v>
      </c>
      <c r="D33" s="436">
        <f>'1.-2.Balance'!C38</f>
        <v>2000.49982</v>
      </c>
      <c r="E33" s="480"/>
      <c r="H33" s="480"/>
      <c r="M33" s="434" t="s">
        <v>450</v>
      </c>
      <c r="N33" s="436">
        <f>'1.-2.Balance'!M38</f>
        <v>2000.49982</v>
      </c>
      <c r="O33" s="436">
        <f>'1.-2.Balance'!G38</f>
        <v>2000.49982</v>
      </c>
      <c r="P33" s="760"/>
      <c r="S33" s="760"/>
    </row>
    <row r="34" spans="2:19">
      <c r="B34" s="434" t="s">
        <v>452</v>
      </c>
      <c r="C34" s="435">
        <f>'1.-2.Balance'!B40</f>
        <v>11224.19587</v>
      </c>
      <c r="D34" s="435">
        <f>'1.-2.Balance'!C40</f>
        <v>11224.19587</v>
      </c>
      <c r="E34" s="763">
        <f t="shared" si="3"/>
        <v>0</v>
      </c>
      <c r="H34" s="480" t="e">
        <f>Tesorería!T43+Tesorería!L53-Tesorería!T58</f>
        <v>#REF!</v>
      </c>
      <c r="M34" s="434" t="s">
        <v>452</v>
      </c>
      <c r="N34" s="435">
        <f>'1.-2.Balance'!M40</f>
        <v>11224.19587</v>
      </c>
      <c r="O34" s="435">
        <f>'1.-2.Balance'!G40</f>
        <v>11224.19587</v>
      </c>
      <c r="P34" s="760">
        <f t="shared" si="4"/>
        <v>0</v>
      </c>
      <c r="S34" s="760"/>
    </row>
    <row r="35" spans="2:19">
      <c r="B35" s="437" t="s">
        <v>454</v>
      </c>
      <c r="C35" s="438">
        <f>'1.-2.Balance'!B42</f>
        <v>3237.0680000000002</v>
      </c>
      <c r="D35" s="438">
        <f>'1.-2.Balance'!C42</f>
        <v>3237.0680000000002</v>
      </c>
      <c r="E35" s="480"/>
      <c r="H35" s="756" t="e">
        <f>SUM(H8:H34)-H36</f>
        <v>#REF!</v>
      </c>
      <c r="M35" s="437" t="s">
        <v>454</v>
      </c>
      <c r="N35" s="438">
        <f>'1.-2.Balance'!M42</f>
        <v>3237.0680000000002</v>
      </c>
      <c r="O35" s="438">
        <f>'1.-2.Balance'!G42</f>
        <v>3237.0680000000002</v>
      </c>
      <c r="P35" s="760"/>
      <c r="S35" s="761">
        <f>SUM(S8:S34)-S36</f>
        <v>-3230669.4158251546</v>
      </c>
    </row>
    <row r="36" spans="2:19" ht="15.75" thickBot="1">
      <c r="B36" s="440" t="s">
        <v>456</v>
      </c>
      <c r="C36" s="447" t="e">
        <f>'1.-2.Balance'!B44</f>
        <v>#REF!</v>
      </c>
      <c r="D36" s="447">
        <f>'1.-2.Balance'!C44</f>
        <v>15420.759351179142</v>
      </c>
      <c r="E36" s="480" t="e">
        <f t="shared" si="3"/>
        <v>#REF!</v>
      </c>
      <c r="F36" s="756" t="e">
        <f>E36*1000-G36</f>
        <v>#REF!</v>
      </c>
      <c r="G36" s="755" t="e">
        <f>SUM(H36:I36)</f>
        <v>#REF!</v>
      </c>
      <c r="H36" s="480" t="e">
        <f>SUM(Tesorería!I6:T8,Tesorería!I11:T34,Tesorería!I38:T54)</f>
        <v>#REF!</v>
      </c>
      <c r="M36" s="440" t="s">
        <v>456</v>
      </c>
      <c r="N36" s="447">
        <f>'1.-2.Balance'!M44</f>
        <v>15420.759351179142</v>
      </c>
      <c r="O36" s="447">
        <f>'1.-2.Balance'!G44</f>
        <v>11352.937629999999</v>
      </c>
      <c r="P36" s="760">
        <f t="shared" si="4"/>
        <v>4067.8217211791434</v>
      </c>
      <c r="Q36" s="761">
        <f>P36*1000-R36</f>
        <v>-80654.789999994449</v>
      </c>
      <c r="R36" s="762">
        <f>SUM(S36:T36)</f>
        <v>4148476.511179138</v>
      </c>
      <c r="S36" s="760">
        <f>Tesorería!H56-Tesorería!C5</f>
        <v>4148476.511179138</v>
      </c>
    </row>
    <row r="37" spans="2:19" ht="15.75" thickBot="1">
      <c r="B37" s="448" t="s">
        <v>457</v>
      </c>
      <c r="C37" s="449" t="e">
        <f>'1.-2.Balance'!B45</f>
        <v>#REF!</v>
      </c>
      <c r="D37" s="449" t="e">
        <f>'1.-2.Balance'!C45</f>
        <v>#REF!</v>
      </c>
      <c r="E37" s="480"/>
      <c r="H37" s="480"/>
      <c r="M37" s="448" t="s">
        <v>457</v>
      </c>
      <c r="N37" s="449" t="e">
        <f>'1.-2.Balance'!M45</f>
        <v>#REF!</v>
      </c>
      <c r="O37" s="449">
        <f>'1.-2.Balance'!G45</f>
        <v>86663.168780000007</v>
      </c>
      <c r="P37" s="760"/>
    </row>
    <row r="39" spans="2:19">
      <c r="C39" s="756" t="e">
        <f>C37-C22</f>
        <v>#REF!</v>
      </c>
      <c r="D39" s="756" t="e">
        <f>D37-D22</f>
        <v>#REF!</v>
      </c>
      <c r="N39" s="756" t="e">
        <f>N37-N22</f>
        <v>#REF!</v>
      </c>
      <c r="O39" s="756">
        <f>O37-O22</f>
        <v>9.1209999998682179E-2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theme="1" tint="0.34998626667073579"/>
    <pageSetUpPr fitToPage="1"/>
  </sheetPr>
  <dimension ref="A1:AJ197"/>
  <sheetViews>
    <sheetView topLeftCell="A55" zoomScale="90" zoomScaleNormal="90" workbookViewId="0">
      <pane xSplit="1" topLeftCell="B1" activePane="topRight" state="frozen"/>
      <selection activeCell="D44" sqref="D44"/>
      <selection pane="topRight" activeCell="D11" sqref="D11"/>
    </sheetView>
  </sheetViews>
  <sheetFormatPr baseColWidth="10" defaultRowHeight="15" outlineLevelCol="1"/>
  <cols>
    <col min="1" max="1" width="61.42578125" customWidth="1"/>
    <col min="2" max="2" width="16.28515625" customWidth="1"/>
    <col min="3" max="3" width="17.7109375" customWidth="1"/>
    <col min="4" max="4" width="16.28515625" style="733" customWidth="1" outlineLevel="1"/>
    <col min="5" max="5" width="16.28515625" style="216" customWidth="1"/>
    <col min="6" max="6" width="11.85546875" style="456" customWidth="1"/>
    <col min="7" max="7" width="15.7109375" style="456" customWidth="1"/>
    <col min="8" max="8" width="13.140625" style="456" customWidth="1"/>
    <col min="9" max="9" width="10.28515625" style="456" customWidth="1"/>
    <col min="10" max="10" width="11.5703125" style="458" customWidth="1"/>
    <col min="11" max="11" width="10.28515625" style="456" customWidth="1"/>
    <col min="12" max="12" width="11.7109375" style="456" customWidth="1"/>
    <col min="13" max="13" width="11.5703125" style="458" customWidth="1"/>
    <col min="14" max="24" width="10.28515625" style="456" customWidth="1"/>
    <col min="25" max="25" width="16" style="458" customWidth="1"/>
    <col min="26" max="26" width="12.7109375" style="456" bestFit="1" customWidth="1"/>
    <col min="27" max="27" width="11.42578125" style="456"/>
    <col min="28" max="28" width="68.7109375" style="456" hidden="1" customWidth="1"/>
    <col min="29" max="33" width="12.85546875" style="216" hidden="1" customWidth="1"/>
    <col min="34" max="36" width="11.42578125" style="456"/>
  </cols>
  <sheetData>
    <row r="1" spans="1:36" s="216" customFormat="1" ht="19.5" thickBot="1">
      <c r="A1" s="835" t="s">
        <v>901</v>
      </c>
      <c r="B1" s="836"/>
      <c r="C1" s="837"/>
      <c r="D1" s="733"/>
      <c r="E1" s="456"/>
      <c r="F1" s="456"/>
      <c r="G1" s="456"/>
      <c r="H1" s="456"/>
      <c r="I1" s="456"/>
      <c r="J1" s="458"/>
      <c r="K1" s="456"/>
      <c r="L1" s="456"/>
      <c r="M1" s="458"/>
      <c r="N1" s="456"/>
      <c r="O1" s="456"/>
      <c r="P1" s="456"/>
      <c r="Q1" s="456"/>
      <c r="R1" s="456"/>
      <c r="S1" s="456"/>
      <c r="T1" s="456"/>
      <c r="U1" s="456"/>
      <c r="V1" s="456"/>
      <c r="W1" s="456"/>
      <c r="X1" s="456"/>
      <c r="Y1" s="458"/>
      <c r="Z1" s="456"/>
      <c r="AA1" s="456"/>
      <c r="AB1" s="456"/>
      <c r="AH1" s="456"/>
      <c r="AI1" s="456"/>
      <c r="AJ1" s="456"/>
    </row>
    <row r="2" spans="1:36" s="216" customFormat="1" ht="15.75">
      <c r="A2" s="838" t="s">
        <v>1</v>
      </c>
      <c r="B2" s="839"/>
      <c r="C2" s="2" t="s">
        <v>2</v>
      </c>
      <c r="D2" s="733"/>
      <c r="E2" s="456"/>
      <c r="F2" s="456"/>
      <c r="G2" s="456"/>
      <c r="H2" s="456"/>
      <c r="I2" s="456"/>
      <c r="J2" s="458"/>
      <c r="K2" s="456"/>
      <c r="L2" s="456"/>
      <c r="M2" s="458"/>
      <c r="N2" s="456"/>
      <c r="O2" s="456"/>
      <c r="P2" s="456"/>
      <c r="Q2" s="456"/>
      <c r="R2" s="456"/>
      <c r="S2" s="456"/>
      <c r="T2" s="456"/>
      <c r="U2" s="456"/>
      <c r="V2" s="456"/>
      <c r="W2" s="456"/>
      <c r="X2" s="456"/>
      <c r="Y2" s="458"/>
      <c r="Z2" s="456"/>
      <c r="AA2" s="456"/>
      <c r="AB2" s="456"/>
      <c r="AH2" s="456"/>
      <c r="AI2" s="456"/>
      <c r="AJ2" s="456"/>
    </row>
    <row r="3" spans="1:36" s="216" customFormat="1" ht="21.75" thickBot="1">
      <c r="A3" s="840" t="s">
        <v>3</v>
      </c>
      <c r="B3" s="841"/>
      <c r="C3" s="573">
        <f>'3. P y G PRESENTACION'!C4</f>
        <v>2023</v>
      </c>
      <c r="D3" s="733"/>
      <c r="E3" s="456"/>
      <c r="F3" s="456"/>
      <c r="G3" s="456"/>
      <c r="H3" s="456"/>
      <c r="I3" s="456"/>
      <c r="J3" s="458"/>
      <c r="K3" s="456"/>
      <c r="L3" s="456"/>
      <c r="M3" s="458"/>
      <c r="N3" s="456"/>
      <c r="O3" s="456"/>
      <c r="P3" s="456"/>
      <c r="Q3" s="456"/>
      <c r="R3" s="456"/>
      <c r="S3" s="456"/>
      <c r="T3" s="456"/>
      <c r="U3" s="456"/>
      <c r="V3" s="456"/>
      <c r="W3" s="456"/>
      <c r="X3" s="456"/>
      <c r="Y3" s="458"/>
      <c r="Z3" s="456"/>
      <c r="AA3" s="456"/>
      <c r="AB3" s="456"/>
      <c r="AH3" s="456"/>
      <c r="AI3" s="456"/>
      <c r="AJ3" s="456"/>
    </row>
    <row r="4" spans="1:36" s="216" customFormat="1">
      <c r="A4" s="842" t="s">
        <v>4</v>
      </c>
      <c r="B4" s="846"/>
      <c r="C4" s="847"/>
      <c r="D4" s="733"/>
      <c r="E4" s="456"/>
      <c r="F4" s="456"/>
      <c r="G4" s="456"/>
      <c r="H4" s="456"/>
      <c r="I4" s="456"/>
      <c r="J4" s="458"/>
      <c r="K4" s="456"/>
      <c r="L4" s="456"/>
      <c r="M4" s="458"/>
      <c r="N4" s="456"/>
      <c r="O4" s="456"/>
      <c r="P4" s="456"/>
      <c r="Q4" s="456"/>
      <c r="R4" s="456"/>
      <c r="S4" s="456"/>
      <c r="T4" s="456"/>
      <c r="U4" s="456"/>
      <c r="V4" s="456"/>
      <c r="W4" s="456"/>
      <c r="X4" s="456"/>
      <c r="Y4" s="458"/>
      <c r="Z4" s="456"/>
      <c r="AA4" s="456"/>
      <c r="AB4" s="456"/>
      <c r="AH4" s="456"/>
      <c r="AI4" s="456"/>
      <c r="AJ4" s="456"/>
    </row>
    <row r="5" spans="1:36" s="216" customFormat="1">
      <c r="A5" s="651" t="s">
        <v>5</v>
      </c>
      <c r="B5" s="848" t="s">
        <v>903</v>
      </c>
      <c r="C5" s="849"/>
      <c r="D5" s="733"/>
      <c r="E5" s="456"/>
      <c r="F5" s="456"/>
      <c r="G5" s="456">
        <v>1000</v>
      </c>
      <c r="H5" s="456"/>
      <c r="I5" s="456"/>
      <c r="J5" s="458"/>
      <c r="K5" s="456"/>
      <c r="L5" s="456"/>
      <c r="M5" s="458"/>
      <c r="N5" s="456"/>
      <c r="O5" s="456"/>
      <c r="P5" s="456"/>
      <c r="Q5" s="456"/>
      <c r="R5" s="456"/>
      <c r="S5" s="456"/>
      <c r="T5" s="456"/>
      <c r="U5" s="456"/>
      <c r="V5" s="456"/>
      <c r="W5" s="456"/>
      <c r="X5" s="456"/>
      <c r="Y5" s="458"/>
      <c r="Z5" s="456"/>
      <c r="AA5" s="456"/>
      <c r="AB5" s="456"/>
      <c r="AH5" s="456"/>
      <c r="AI5" s="456"/>
      <c r="AJ5" s="456"/>
    </row>
    <row r="6" spans="1:36" s="216" customFormat="1">
      <c r="A6" s="651" t="s">
        <v>904</v>
      </c>
      <c r="B6" s="850">
        <v>43800</v>
      </c>
      <c r="C6" s="849"/>
      <c r="D6" s="733"/>
      <c r="E6" s="456"/>
      <c r="F6" s="456"/>
      <c r="G6" s="456"/>
      <c r="H6" s="456"/>
      <c r="I6" s="456"/>
      <c r="J6" s="458"/>
      <c r="K6" s="456"/>
      <c r="L6" s="456"/>
      <c r="M6" s="458"/>
      <c r="N6" s="456"/>
      <c r="O6" s="456"/>
      <c r="P6" s="456"/>
      <c r="Q6" s="456"/>
      <c r="R6" s="456"/>
      <c r="S6" s="456"/>
      <c r="T6" s="456"/>
      <c r="U6" s="456"/>
      <c r="V6" s="456"/>
      <c r="W6" s="456"/>
      <c r="X6" s="456"/>
      <c r="Y6" s="458"/>
      <c r="Z6" s="456"/>
      <c r="AA6" s="456"/>
      <c r="AB6" s="456"/>
      <c r="AH6" s="456"/>
      <c r="AI6" s="456"/>
      <c r="AJ6" s="456"/>
    </row>
    <row r="7" spans="1:36" s="216" customFormat="1" ht="24" thickBot="1">
      <c r="A7" s="843" t="s">
        <v>902</v>
      </c>
      <c r="B7" s="844"/>
      <c r="C7" s="845"/>
      <c r="D7" s="733"/>
      <c r="E7" s="456"/>
      <c r="F7" s="456"/>
      <c r="G7" s="456"/>
      <c r="H7" s="456"/>
      <c r="I7" s="456"/>
      <c r="J7" s="458"/>
      <c r="K7" s="456"/>
      <c r="L7" s="456"/>
      <c r="M7" s="458"/>
      <c r="N7" s="456"/>
      <c r="O7" s="456"/>
      <c r="P7" s="456"/>
      <c r="Q7" s="456"/>
      <c r="R7" s="456"/>
      <c r="S7" s="456"/>
      <c r="T7" s="456"/>
      <c r="U7" s="456"/>
      <c r="V7" s="456"/>
      <c r="W7" s="456"/>
      <c r="X7" s="456"/>
      <c r="Y7" s="458"/>
      <c r="Z7" s="456"/>
      <c r="AA7" s="456"/>
      <c r="AB7" s="456"/>
      <c r="AH7" s="456"/>
      <c r="AI7" s="456"/>
      <c r="AJ7" s="456"/>
    </row>
    <row r="8" spans="1:36" s="456" customFormat="1" ht="19.5" thickBot="1">
      <c r="A8" s="851" t="s">
        <v>7</v>
      </c>
      <c r="B8" s="852"/>
      <c r="C8" s="853"/>
      <c r="D8" s="734"/>
      <c r="J8" s="458"/>
      <c r="M8" s="458"/>
      <c r="Y8" s="458"/>
      <c r="AC8" s="555" t="s">
        <v>661</v>
      </c>
      <c r="AD8" s="556"/>
      <c r="AE8" s="556"/>
      <c r="AF8" s="556"/>
      <c r="AG8" s="557"/>
    </row>
    <row r="9" spans="1:36" ht="32.25" thickBot="1">
      <c r="A9" s="427" t="s">
        <v>424</v>
      </c>
      <c r="B9" s="428">
        <f>'1.-2. Balance Ajustado'!$B$10</f>
        <v>2023</v>
      </c>
      <c r="C9" s="428" t="str">
        <f>'1.-2. Balance Ajustado'!$C$10</f>
        <v>2022 (estimado)</v>
      </c>
      <c r="D9" s="799">
        <f>B9-2</f>
        <v>2021</v>
      </c>
      <c r="E9" s="429" t="str">
        <f>"∆ "&amp;D9+1&amp;"- "&amp;D9</f>
        <v>∆ 2022- 2021</v>
      </c>
      <c r="G9" s="457" t="s">
        <v>982</v>
      </c>
      <c r="H9" s="429" t="s">
        <v>1028</v>
      </c>
      <c r="I9" s="429" t="s">
        <v>983</v>
      </c>
      <c r="J9" s="429" t="s">
        <v>984</v>
      </c>
      <c r="K9" s="429" t="s">
        <v>985</v>
      </c>
      <c r="L9" s="429" t="s">
        <v>986</v>
      </c>
      <c r="M9" s="429" t="s">
        <v>1029</v>
      </c>
      <c r="N9" s="429" t="s">
        <v>1030</v>
      </c>
      <c r="O9" s="429" t="s">
        <v>1031</v>
      </c>
      <c r="P9" s="429" t="s">
        <v>1032</v>
      </c>
      <c r="Q9" s="429" t="s">
        <v>1033</v>
      </c>
      <c r="R9" s="429" t="s">
        <v>1034</v>
      </c>
      <c r="S9" s="429" t="s">
        <v>1035</v>
      </c>
      <c r="T9" s="429" t="s">
        <v>1036</v>
      </c>
      <c r="U9" s="429" t="s">
        <v>1037</v>
      </c>
      <c r="V9" s="429" t="s">
        <v>1038</v>
      </c>
      <c r="W9" s="429" t="s">
        <v>1039</v>
      </c>
      <c r="X9" s="429" t="s">
        <v>1040</v>
      </c>
      <c r="Y9" s="429" t="s">
        <v>1041</v>
      </c>
      <c r="Z9" s="456" t="s">
        <v>575</v>
      </c>
      <c r="AB9" s="427" t="s">
        <v>424</v>
      </c>
      <c r="AC9" s="546">
        <v>43709</v>
      </c>
      <c r="AD9" s="429" t="s">
        <v>662</v>
      </c>
      <c r="AE9" s="545">
        <v>43800</v>
      </c>
      <c r="AF9" s="429">
        <v>2020</v>
      </c>
      <c r="AG9" s="545">
        <v>44166</v>
      </c>
    </row>
    <row r="10" spans="1:36" ht="15.75" thickBot="1">
      <c r="A10" s="430" t="s">
        <v>425</v>
      </c>
      <c r="B10" s="431" t="e">
        <f>B11+B16+B20+B23+B24+B25+B26</f>
        <v>#REF!</v>
      </c>
      <c r="C10" s="431" t="e">
        <f>C11+C16+C20+C23+C24+C25+C26</f>
        <v>#REF!</v>
      </c>
      <c r="D10" s="790">
        <f>D11+D16+D20+D23+D24+D25+D26</f>
        <v>58842.691140000003</v>
      </c>
      <c r="E10" s="431" t="e">
        <f t="shared" ref="E10:E45" si="0">B10-C10</f>
        <v>#REF!</v>
      </c>
      <c r="F10" s="567"/>
      <c r="G10" s="473">
        <f t="shared" ref="G10:Y10" si="1">G11+G16+G20+G23+G24+G25+G26</f>
        <v>58089.271399999998</v>
      </c>
      <c r="H10" s="473" t="e">
        <f t="shared" ref="H10:J10" si="2">H11+H16+H20+H23+H24+H25+H26</f>
        <v>#REF!</v>
      </c>
      <c r="I10" s="473" t="e">
        <f t="shared" si="2"/>
        <v>#REF!</v>
      </c>
      <c r="J10" s="473" t="e">
        <f t="shared" si="2"/>
        <v>#REF!</v>
      </c>
      <c r="K10" s="473" t="e">
        <f t="shared" si="1"/>
        <v>#REF!</v>
      </c>
      <c r="L10" s="473" t="e">
        <f t="shared" si="1"/>
        <v>#REF!</v>
      </c>
      <c r="M10" s="473" t="e">
        <f t="shared" si="1"/>
        <v>#REF!</v>
      </c>
      <c r="N10" s="473" t="e">
        <f t="shared" si="1"/>
        <v>#REF!</v>
      </c>
      <c r="O10" s="473" t="e">
        <f t="shared" si="1"/>
        <v>#REF!</v>
      </c>
      <c r="P10" s="473" t="e">
        <f t="shared" si="1"/>
        <v>#REF!</v>
      </c>
      <c r="Q10" s="473" t="e">
        <f t="shared" si="1"/>
        <v>#REF!</v>
      </c>
      <c r="R10" s="473" t="e">
        <f t="shared" si="1"/>
        <v>#REF!</v>
      </c>
      <c r="S10" s="473" t="e">
        <f t="shared" si="1"/>
        <v>#REF!</v>
      </c>
      <c r="T10" s="473" t="e">
        <f t="shared" si="1"/>
        <v>#REF!</v>
      </c>
      <c r="U10" s="473" t="e">
        <f t="shared" si="1"/>
        <v>#REF!</v>
      </c>
      <c r="V10" s="473" t="e">
        <f t="shared" si="1"/>
        <v>#REF!</v>
      </c>
      <c r="W10" s="473" t="e">
        <f t="shared" si="1"/>
        <v>#REF!</v>
      </c>
      <c r="X10" s="473" t="e">
        <f t="shared" si="1"/>
        <v>#REF!</v>
      </c>
      <c r="Y10" s="473" t="e">
        <f t="shared" si="1"/>
        <v>#REF!</v>
      </c>
      <c r="AB10" s="430" t="s">
        <v>425</v>
      </c>
      <c r="AC10" s="476">
        <f>G10</f>
        <v>58089.271399999998</v>
      </c>
      <c r="AD10" s="431" t="e">
        <f>AE10-AC10</f>
        <v>#REF!</v>
      </c>
      <c r="AE10" s="431" t="e">
        <f t="shared" ref="AE10:AE45" si="3">C10</f>
        <v>#REF!</v>
      </c>
      <c r="AF10" s="431" t="e">
        <f>AG10-AE10</f>
        <v>#REF!</v>
      </c>
      <c r="AG10" s="431" t="e">
        <f t="shared" ref="AG10:AG45" si="4">B10</f>
        <v>#REF!</v>
      </c>
      <c r="AH10" s="480" t="e">
        <f>M10-G10</f>
        <v>#REF!</v>
      </c>
    </row>
    <row r="11" spans="1:36">
      <c r="A11" s="432" t="s">
        <v>426</v>
      </c>
      <c r="B11" s="433" t="e">
        <f>SUM(B12:B15)</f>
        <v>#REF!</v>
      </c>
      <c r="C11" s="433" t="e">
        <f>SUM(C12:C15)</f>
        <v>#REF!</v>
      </c>
      <c r="D11" s="433">
        <f>SUM(D12:D15)</f>
        <v>22303.015669999997</v>
      </c>
      <c r="E11" s="433" t="e">
        <f t="shared" si="0"/>
        <v>#REF!</v>
      </c>
      <c r="F11" s="647"/>
      <c r="G11" s="474">
        <f t="shared" ref="G11:Y11" si="5">SUM(G12:G15)</f>
        <v>22760.334159999995</v>
      </c>
      <c r="H11" s="474" t="e">
        <f t="shared" ref="H11:J11" si="6">SUM(H12:H15)</f>
        <v>#REF!</v>
      </c>
      <c r="I11" s="474" t="e">
        <f t="shared" si="6"/>
        <v>#REF!</v>
      </c>
      <c r="J11" s="474" t="e">
        <f t="shared" si="6"/>
        <v>#REF!</v>
      </c>
      <c r="K11" s="474" t="e">
        <f t="shared" si="5"/>
        <v>#REF!</v>
      </c>
      <c r="L11" s="474" t="e">
        <f t="shared" si="5"/>
        <v>#REF!</v>
      </c>
      <c r="M11" s="474" t="e">
        <f t="shared" si="5"/>
        <v>#REF!</v>
      </c>
      <c r="N11" s="474" t="e">
        <f t="shared" si="5"/>
        <v>#REF!</v>
      </c>
      <c r="O11" s="474" t="e">
        <f t="shared" si="5"/>
        <v>#REF!</v>
      </c>
      <c r="P11" s="474" t="e">
        <f t="shared" si="5"/>
        <v>#REF!</v>
      </c>
      <c r="Q11" s="474" t="e">
        <f t="shared" si="5"/>
        <v>#REF!</v>
      </c>
      <c r="R11" s="474" t="e">
        <f t="shared" si="5"/>
        <v>#REF!</v>
      </c>
      <c r="S11" s="474" t="e">
        <f t="shared" si="5"/>
        <v>#REF!</v>
      </c>
      <c r="T11" s="474" t="e">
        <f t="shared" si="5"/>
        <v>#REF!</v>
      </c>
      <c r="U11" s="474" t="e">
        <f t="shared" si="5"/>
        <v>#REF!</v>
      </c>
      <c r="V11" s="474" t="e">
        <f t="shared" si="5"/>
        <v>#REF!</v>
      </c>
      <c r="W11" s="474" t="e">
        <f t="shared" si="5"/>
        <v>#REF!</v>
      </c>
      <c r="X11" s="474" t="e">
        <f t="shared" si="5"/>
        <v>#REF!</v>
      </c>
      <c r="Y11" s="474" t="e">
        <f t="shared" si="5"/>
        <v>#REF!</v>
      </c>
      <c r="Z11" s="485"/>
      <c r="AB11" s="432" t="s">
        <v>426</v>
      </c>
      <c r="AC11" s="474">
        <f t="shared" ref="AC11:AC45" si="7">G11</f>
        <v>22760.334159999995</v>
      </c>
      <c r="AD11" s="433" t="e">
        <f t="shared" ref="AD11:AD45" si="8">AE11-AC11</f>
        <v>#REF!</v>
      </c>
      <c r="AE11" s="433" t="e">
        <f t="shared" si="3"/>
        <v>#REF!</v>
      </c>
      <c r="AF11" s="433" t="e">
        <f t="shared" ref="AF11:AF45" si="9">AG11-AE11</f>
        <v>#REF!</v>
      </c>
      <c r="AG11" s="433" t="e">
        <f t="shared" si="4"/>
        <v>#REF!</v>
      </c>
      <c r="AH11" s="480" t="e">
        <f>M11-G11</f>
        <v>#REF!</v>
      </c>
    </row>
    <row r="12" spans="1:36">
      <c r="A12" s="434" t="s">
        <v>427</v>
      </c>
      <c r="B12" s="435">
        <f>Y12</f>
        <v>0</v>
      </c>
      <c r="C12" s="435">
        <f>M12</f>
        <v>0</v>
      </c>
      <c r="D12" s="436">
        <v>0</v>
      </c>
      <c r="E12" s="435">
        <f t="shared" si="0"/>
        <v>0</v>
      </c>
      <c r="G12" s="463">
        <v>0</v>
      </c>
      <c r="H12" s="459"/>
      <c r="I12" s="459"/>
      <c r="J12" s="459"/>
      <c r="K12" s="459"/>
      <c r="L12" s="459"/>
      <c r="M12" s="460"/>
      <c r="N12" s="459"/>
      <c r="O12" s="459"/>
      <c r="P12" s="459"/>
      <c r="Q12" s="459"/>
      <c r="R12" s="459"/>
      <c r="S12" s="459"/>
      <c r="T12" s="459"/>
      <c r="U12" s="459"/>
      <c r="V12" s="459"/>
      <c r="W12" s="459"/>
      <c r="X12" s="459"/>
      <c r="Y12" s="460"/>
      <c r="AB12" s="434" t="s">
        <v>427</v>
      </c>
      <c r="AC12" s="444">
        <f t="shared" si="7"/>
        <v>0</v>
      </c>
      <c r="AD12" s="435">
        <f t="shared" si="8"/>
        <v>0</v>
      </c>
      <c r="AE12" s="435">
        <f t="shared" si="3"/>
        <v>0</v>
      </c>
      <c r="AF12" s="435">
        <f t="shared" si="9"/>
        <v>0</v>
      </c>
      <c r="AG12" s="435">
        <f t="shared" si="4"/>
        <v>0</v>
      </c>
    </row>
    <row r="13" spans="1:36">
      <c r="A13" s="434" t="s">
        <v>428</v>
      </c>
      <c r="B13" s="436" t="e">
        <f>Y13</f>
        <v>#REF!</v>
      </c>
      <c r="C13" s="435" t="e">
        <f>M13</f>
        <v>#REF!</v>
      </c>
      <c r="D13" s="798">
        <v>185.60274000000021</v>
      </c>
      <c r="E13" s="435" t="e">
        <f t="shared" si="0"/>
        <v>#REF!</v>
      </c>
      <c r="F13" s="567"/>
      <c r="G13" s="815">
        <v>164.5353400000003</v>
      </c>
      <c r="H13" s="719" t="e">
        <f t="shared" ref="H13:H15" si="10">G13+H118+H124+H131</f>
        <v>#REF!</v>
      </c>
      <c r="I13" s="719" t="e">
        <f t="shared" ref="I13:I15" si="11">H13+I118+I124+I131</f>
        <v>#REF!</v>
      </c>
      <c r="J13" s="719" t="e">
        <f t="shared" ref="J13:J15" si="12">I13+J118+J124+J131</f>
        <v>#REF!</v>
      </c>
      <c r="K13" s="719" t="e">
        <f t="shared" ref="K13:K15" si="13">J13+K118+K124+K131</f>
        <v>#REF!</v>
      </c>
      <c r="L13" s="719" t="e">
        <f t="shared" ref="L13:L15" si="14">K13+L118+L124+L131</f>
        <v>#REF!</v>
      </c>
      <c r="M13" s="719" t="e">
        <f t="shared" ref="M13:Y13" si="15">L13+M118+M124+M131</f>
        <v>#REF!</v>
      </c>
      <c r="N13" s="719" t="e">
        <f t="shared" si="15"/>
        <v>#REF!</v>
      </c>
      <c r="O13" s="719" t="e">
        <f t="shared" si="15"/>
        <v>#REF!</v>
      </c>
      <c r="P13" s="719" t="e">
        <f t="shared" si="15"/>
        <v>#REF!</v>
      </c>
      <c r="Q13" s="719" t="e">
        <f t="shared" si="15"/>
        <v>#REF!</v>
      </c>
      <c r="R13" s="719" t="e">
        <f t="shared" si="15"/>
        <v>#REF!</v>
      </c>
      <c r="S13" s="719" t="e">
        <f t="shared" si="15"/>
        <v>#REF!</v>
      </c>
      <c r="T13" s="719" t="e">
        <f t="shared" si="15"/>
        <v>#REF!</v>
      </c>
      <c r="U13" s="719" t="e">
        <f t="shared" si="15"/>
        <v>#REF!</v>
      </c>
      <c r="V13" s="719" t="e">
        <f t="shared" si="15"/>
        <v>#REF!</v>
      </c>
      <c r="W13" s="719" t="e">
        <f t="shared" si="15"/>
        <v>#REF!</v>
      </c>
      <c r="X13" s="719" t="e">
        <f t="shared" si="15"/>
        <v>#REF!</v>
      </c>
      <c r="Y13" s="719" t="e">
        <f t="shared" si="15"/>
        <v>#REF!</v>
      </c>
      <c r="Z13" s="471"/>
      <c r="AB13" s="434" t="s">
        <v>428</v>
      </c>
      <c r="AC13" s="444">
        <f t="shared" si="7"/>
        <v>164.5353400000003</v>
      </c>
      <c r="AD13" s="435" t="e">
        <f t="shared" si="8"/>
        <v>#REF!</v>
      </c>
      <c r="AE13" s="435" t="e">
        <f t="shared" si="3"/>
        <v>#REF!</v>
      </c>
      <c r="AF13" s="435" t="e">
        <f t="shared" si="9"/>
        <v>#REF!</v>
      </c>
      <c r="AG13" s="435" t="e">
        <f t="shared" si="4"/>
        <v>#REF!</v>
      </c>
      <c r="AH13" s="480" t="e">
        <f t="shared" ref="AH13:AH19" si="16">M13-G13</f>
        <v>#REF!</v>
      </c>
    </row>
    <row r="14" spans="1:36">
      <c r="A14" s="434" t="s">
        <v>429</v>
      </c>
      <c r="B14" s="435" t="e">
        <f>Y14</f>
        <v>#REF!</v>
      </c>
      <c r="C14" s="435" t="e">
        <f>M14</f>
        <v>#REF!</v>
      </c>
      <c r="D14" s="798">
        <v>18372.083449999998</v>
      </c>
      <c r="E14" s="435" t="e">
        <f t="shared" si="0"/>
        <v>#REF!</v>
      </c>
      <c r="F14" s="567"/>
      <c r="G14" s="815">
        <v>18910.667699999998</v>
      </c>
      <c r="H14" s="719" t="e">
        <f t="shared" si="10"/>
        <v>#REF!</v>
      </c>
      <c r="I14" s="719" t="e">
        <f t="shared" si="11"/>
        <v>#REF!</v>
      </c>
      <c r="J14" s="719" t="e">
        <f t="shared" si="12"/>
        <v>#REF!</v>
      </c>
      <c r="K14" s="719" t="e">
        <f t="shared" si="13"/>
        <v>#REF!</v>
      </c>
      <c r="L14" s="719" t="e">
        <f>K14+L119+L125+L132</f>
        <v>#REF!</v>
      </c>
      <c r="M14" s="743" t="e">
        <f>L14+M119+M125+M132+'3. P y G PRESENTACION'!C14/1000</f>
        <v>#REF!</v>
      </c>
      <c r="N14" s="719" t="e">
        <f t="shared" ref="N14:X14" si="17">M14+N119+N125+N132</f>
        <v>#REF!</v>
      </c>
      <c r="O14" s="719" t="e">
        <f t="shared" si="17"/>
        <v>#REF!</v>
      </c>
      <c r="P14" s="719" t="e">
        <f t="shared" si="17"/>
        <v>#REF!</v>
      </c>
      <c r="Q14" s="719" t="e">
        <f t="shared" si="17"/>
        <v>#REF!</v>
      </c>
      <c r="R14" s="719" t="e">
        <f t="shared" si="17"/>
        <v>#REF!</v>
      </c>
      <c r="S14" s="719" t="e">
        <f t="shared" si="17"/>
        <v>#REF!</v>
      </c>
      <c r="T14" s="719" t="e">
        <f t="shared" si="17"/>
        <v>#REF!</v>
      </c>
      <c r="U14" s="719" t="e">
        <f t="shared" si="17"/>
        <v>#REF!</v>
      </c>
      <c r="V14" s="719" t="e">
        <f t="shared" si="17"/>
        <v>#REF!</v>
      </c>
      <c r="W14" s="719" t="e">
        <f t="shared" si="17"/>
        <v>#REF!</v>
      </c>
      <c r="X14" s="719" t="e">
        <f t="shared" si="17"/>
        <v>#REF!</v>
      </c>
      <c r="Y14" s="743" t="e">
        <f>X14+Y119+Y125+Y132+'3. P y G PRESENTACION'!B14/1000</f>
        <v>#REF!</v>
      </c>
      <c r="Z14" s="471"/>
      <c r="AB14" s="434" t="s">
        <v>429</v>
      </c>
      <c r="AC14" s="444">
        <f t="shared" si="7"/>
        <v>18910.667699999998</v>
      </c>
      <c r="AD14" s="435" t="e">
        <f t="shared" si="8"/>
        <v>#REF!</v>
      </c>
      <c r="AE14" s="435" t="e">
        <f t="shared" si="3"/>
        <v>#REF!</v>
      </c>
      <c r="AF14" s="435" t="e">
        <f t="shared" si="9"/>
        <v>#REF!</v>
      </c>
      <c r="AG14" s="435" t="e">
        <f t="shared" si="4"/>
        <v>#REF!</v>
      </c>
      <c r="AH14" s="480" t="e">
        <f t="shared" si="16"/>
        <v>#REF!</v>
      </c>
    </row>
    <row r="15" spans="1:36">
      <c r="A15" s="434" t="s">
        <v>430</v>
      </c>
      <c r="B15" s="436" t="e">
        <f>Y15</f>
        <v>#REF!</v>
      </c>
      <c r="C15" s="435" t="e">
        <f>M15</f>
        <v>#REF!</v>
      </c>
      <c r="D15" s="798">
        <v>3745.3294799999994</v>
      </c>
      <c r="E15" s="435" t="e">
        <f t="shared" si="0"/>
        <v>#REF!</v>
      </c>
      <c r="F15" s="567"/>
      <c r="G15" s="815">
        <v>3685.1311199999996</v>
      </c>
      <c r="H15" s="719" t="e">
        <f t="shared" si="10"/>
        <v>#REF!</v>
      </c>
      <c r="I15" s="719" t="e">
        <f t="shared" si="11"/>
        <v>#REF!</v>
      </c>
      <c r="J15" s="719" t="e">
        <f t="shared" si="12"/>
        <v>#REF!</v>
      </c>
      <c r="K15" s="719" t="e">
        <f t="shared" si="13"/>
        <v>#REF!</v>
      </c>
      <c r="L15" s="719" t="e">
        <f t="shared" si="14"/>
        <v>#REF!</v>
      </c>
      <c r="M15" s="719" t="e">
        <f t="shared" ref="M15:X15" si="18">L15+M120+M126+M133</f>
        <v>#REF!</v>
      </c>
      <c r="N15" s="719" t="e">
        <f t="shared" si="18"/>
        <v>#REF!</v>
      </c>
      <c r="O15" s="719" t="e">
        <f t="shared" si="18"/>
        <v>#REF!</v>
      </c>
      <c r="P15" s="719" t="e">
        <f t="shared" si="18"/>
        <v>#REF!</v>
      </c>
      <c r="Q15" s="719" t="e">
        <f t="shared" si="18"/>
        <v>#REF!</v>
      </c>
      <c r="R15" s="719" t="e">
        <f t="shared" si="18"/>
        <v>#REF!</v>
      </c>
      <c r="S15" s="719" t="e">
        <f t="shared" si="18"/>
        <v>#REF!</v>
      </c>
      <c r="T15" s="719" t="e">
        <f t="shared" si="18"/>
        <v>#REF!</v>
      </c>
      <c r="U15" s="719" t="e">
        <f t="shared" si="18"/>
        <v>#REF!</v>
      </c>
      <c r="V15" s="719" t="e">
        <f t="shared" si="18"/>
        <v>#REF!</v>
      </c>
      <c r="W15" s="719" t="e">
        <f t="shared" si="18"/>
        <v>#REF!</v>
      </c>
      <c r="X15" s="719" t="e">
        <f t="shared" si="18"/>
        <v>#REF!</v>
      </c>
      <c r="Y15" s="719" t="e">
        <f>X15+Y120+Y126+Y133</f>
        <v>#REF!</v>
      </c>
      <c r="Z15" s="471" t="s">
        <v>576</v>
      </c>
      <c r="AB15" s="434" t="s">
        <v>430</v>
      </c>
      <c r="AC15" s="444">
        <f t="shared" si="7"/>
        <v>3685.1311199999996</v>
      </c>
      <c r="AD15" s="435" t="e">
        <f t="shared" si="8"/>
        <v>#REF!</v>
      </c>
      <c r="AE15" s="435" t="e">
        <f t="shared" si="3"/>
        <v>#REF!</v>
      </c>
      <c r="AF15" s="435" t="e">
        <f t="shared" si="9"/>
        <v>#REF!</v>
      </c>
      <c r="AG15" s="435" t="e">
        <f t="shared" si="4"/>
        <v>#REF!</v>
      </c>
      <c r="AH15" s="480" t="e">
        <f t="shared" si="16"/>
        <v>#REF!</v>
      </c>
    </row>
    <row r="16" spans="1:36">
      <c r="A16" s="437" t="s">
        <v>431</v>
      </c>
      <c r="B16" s="438" t="e">
        <f>SUM(B17:B19)</f>
        <v>#REF!</v>
      </c>
      <c r="C16" s="438" t="e">
        <f>SUM(C17:C19)</f>
        <v>#REF!</v>
      </c>
      <c r="D16" s="792">
        <f>SUM(D17:D19)</f>
        <v>36399.681000000004</v>
      </c>
      <c r="E16" s="438" t="e">
        <f t="shared" si="0"/>
        <v>#REF!</v>
      </c>
      <c r="F16" s="648" t="e">
        <f>E16+E11-SUM(N118:Y136)</f>
        <v>#REF!</v>
      </c>
      <c r="G16" s="816">
        <f t="shared" ref="G16:Y16" si="19">SUM(G17:G19)</f>
        <v>35198.469219999999</v>
      </c>
      <c r="H16" s="475" t="e">
        <f t="shared" ref="H16:L16" si="20">SUM(H17:H19)</f>
        <v>#REF!</v>
      </c>
      <c r="I16" s="475" t="e">
        <f t="shared" si="20"/>
        <v>#REF!</v>
      </c>
      <c r="J16" s="475" t="e">
        <f t="shared" si="20"/>
        <v>#REF!</v>
      </c>
      <c r="K16" s="475" t="e">
        <f t="shared" si="20"/>
        <v>#REF!</v>
      </c>
      <c r="L16" s="475" t="e">
        <f t="shared" si="20"/>
        <v>#REF!</v>
      </c>
      <c r="M16" s="475" t="e">
        <f t="shared" si="19"/>
        <v>#REF!</v>
      </c>
      <c r="N16" s="475" t="e">
        <f t="shared" si="19"/>
        <v>#REF!</v>
      </c>
      <c r="O16" s="475" t="e">
        <f t="shared" si="19"/>
        <v>#REF!</v>
      </c>
      <c r="P16" s="475" t="e">
        <f t="shared" si="19"/>
        <v>#REF!</v>
      </c>
      <c r="Q16" s="475" t="e">
        <f t="shared" si="19"/>
        <v>#REF!</v>
      </c>
      <c r="R16" s="475" t="e">
        <f t="shared" si="19"/>
        <v>#REF!</v>
      </c>
      <c r="S16" s="475" t="e">
        <f t="shared" si="19"/>
        <v>#REF!</v>
      </c>
      <c r="T16" s="475" t="e">
        <f t="shared" si="19"/>
        <v>#REF!</v>
      </c>
      <c r="U16" s="475" t="e">
        <f t="shared" si="19"/>
        <v>#REF!</v>
      </c>
      <c r="V16" s="475" t="e">
        <f t="shared" si="19"/>
        <v>#REF!</v>
      </c>
      <c r="W16" s="475" t="e">
        <f t="shared" si="19"/>
        <v>#REF!</v>
      </c>
      <c r="X16" s="475" t="e">
        <f t="shared" si="19"/>
        <v>#REF!</v>
      </c>
      <c r="Y16" s="475" t="e">
        <f t="shared" si="19"/>
        <v>#REF!</v>
      </c>
      <c r="Z16" s="471"/>
      <c r="AB16" s="437" t="s">
        <v>431</v>
      </c>
      <c r="AC16" s="475">
        <f t="shared" si="7"/>
        <v>35198.469219999999</v>
      </c>
      <c r="AD16" s="438" t="e">
        <f t="shared" si="8"/>
        <v>#REF!</v>
      </c>
      <c r="AE16" s="438" t="e">
        <f t="shared" si="3"/>
        <v>#REF!</v>
      </c>
      <c r="AF16" s="438" t="e">
        <f t="shared" si="9"/>
        <v>#REF!</v>
      </c>
      <c r="AG16" s="438" t="e">
        <f t="shared" si="4"/>
        <v>#REF!</v>
      </c>
      <c r="AH16" s="480" t="e">
        <f t="shared" si="16"/>
        <v>#REF!</v>
      </c>
    </row>
    <row r="17" spans="1:34">
      <c r="A17" s="434" t="s">
        <v>432</v>
      </c>
      <c r="B17" s="436" t="e">
        <f>Y17</f>
        <v>#REF!</v>
      </c>
      <c r="C17" s="435" t="e">
        <f>M17</f>
        <v>#REF!</v>
      </c>
      <c r="D17" s="798">
        <v>6893.9751899999992</v>
      </c>
      <c r="E17" s="435" t="e">
        <f t="shared" si="0"/>
        <v>#REF!</v>
      </c>
      <c r="F17" s="567"/>
      <c r="G17" s="815">
        <v>6771.42742</v>
      </c>
      <c r="H17" s="719" t="e">
        <f t="shared" ref="H17:H19" si="21">G17+H121+H127+H134</f>
        <v>#REF!</v>
      </c>
      <c r="I17" s="719" t="e">
        <f t="shared" ref="I17:I19" si="22">H17+I121+I127+I134</f>
        <v>#REF!</v>
      </c>
      <c r="J17" s="719" t="e">
        <f t="shared" ref="J17:J19" si="23">I17+J121+J127+J134</f>
        <v>#REF!</v>
      </c>
      <c r="K17" s="719" t="e">
        <f t="shared" ref="K17:K19" si="24">J17+K121+K127+K134</f>
        <v>#REF!</v>
      </c>
      <c r="L17" s="719" t="e">
        <f t="shared" ref="L17:L19" si="25">K17+L121+L127+L134</f>
        <v>#REF!</v>
      </c>
      <c r="M17" s="719" t="e">
        <f>L17+M121+M127+M134</f>
        <v>#REF!</v>
      </c>
      <c r="N17" s="719" t="e">
        <f t="shared" ref="N17:Y17" si="26">M17+N121+N127+N134</f>
        <v>#REF!</v>
      </c>
      <c r="O17" s="719" t="e">
        <f t="shared" si="26"/>
        <v>#REF!</v>
      </c>
      <c r="P17" s="719" t="e">
        <f t="shared" si="26"/>
        <v>#REF!</v>
      </c>
      <c r="Q17" s="719" t="e">
        <f t="shared" si="26"/>
        <v>#REF!</v>
      </c>
      <c r="R17" s="719" t="e">
        <f t="shared" si="26"/>
        <v>#REF!</v>
      </c>
      <c r="S17" s="719" t="e">
        <f t="shared" si="26"/>
        <v>#REF!</v>
      </c>
      <c r="T17" s="719" t="e">
        <f t="shared" si="26"/>
        <v>#REF!</v>
      </c>
      <c r="U17" s="719" t="e">
        <f t="shared" si="26"/>
        <v>#REF!</v>
      </c>
      <c r="V17" s="719" t="e">
        <f t="shared" si="26"/>
        <v>#REF!</v>
      </c>
      <c r="W17" s="719" t="e">
        <f t="shared" si="26"/>
        <v>#REF!</v>
      </c>
      <c r="X17" s="719" t="e">
        <f t="shared" si="26"/>
        <v>#REF!</v>
      </c>
      <c r="Y17" s="719" t="e">
        <f t="shared" si="26"/>
        <v>#REF!</v>
      </c>
      <c r="Z17" s="471"/>
      <c r="AB17" s="434" t="s">
        <v>432</v>
      </c>
      <c r="AC17" s="444">
        <f t="shared" si="7"/>
        <v>6771.42742</v>
      </c>
      <c r="AD17" s="435" t="e">
        <f t="shared" si="8"/>
        <v>#REF!</v>
      </c>
      <c r="AE17" s="435" t="e">
        <f t="shared" si="3"/>
        <v>#REF!</v>
      </c>
      <c r="AF17" s="435" t="e">
        <f t="shared" si="9"/>
        <v>#REF!</v>
      </c>
      <c r="AG17" s="435" t="e">
        <f t="shared" si="4"/>
        <v>#REF!</v>
      </c>
      <c r="AH17" s="480" t="e">
        <f t="shared" si="16"/>
        <v>#REF!</v>
      </c>
    </row>
    <row r="18" spans="1:34">
      <c r="A18" s="434" t="s">
        <v>429</v>
      </c>
      <c r="B18" s="435" t="e">
        <f>Y18</f>
        <v>#REF!</v>
      </c>
      <c r="C18" s="435" t="e">
        <f>M18</f>
        <v>#REF!</v>
      </c>
      <c r="D18" s="436">
        <v>0</v>
      </c>
      <c r="E18" s="435" t="e">
        <f t="shared" si="0"/>
        <v>#REF!</v>
      </c>
      <c r="F18" s="466" t="e">
        <f t="shared" ref="F18:F27" si="27">C18-D18</f>
        <v>#REF!</v>
      </c>
      <c r="G18" s="815">
        <v>0</v>
      </c>
      <c r="H18" s="719" t="e">
        <f t="shared" si="21"/>
        <v>#REF!</v>
      </c>
      <c r="I18" s="719" t="e">
        <f t="shared" si="22"/>
        <v>#REF!</v>
      </c>
      <c r="J18" s="719" t="e">
        <f t="shared" si="23"/>
        <v>#REF!</v>
      </c>
      <c r="K18" s="719" t="e">
        <f t="shared" si="24"/>
        <v>#REF!</v>
      </c>
      <c r="L18" s="719" t="e">
        <f t="shared" si="25"/>
        <v>#REF!</v>
      </c>
      <c r="M18" s="719" t="e">
        <f>L18+M122+M128+M135</f>
        <v>#REF!</v>
      </c>
      <c r="N18" s="719" t="e">
        <f t="shared" ref="N18:Y18" si="28">M18+N122+N128+N135</f>
        <v>#REF!</v>
      </c>
      <c r="O18" s="719" t="e">
        <f t="shared" si="28"/>
        <v>#REF!</v>
      </c>
      <c r="P18" s="719" t="e">
        <f t="shared" si="28"/>
        <v>#REF!</v>
      </c>
      <c r="Q18" s="719" t="e">
        <f t="shared" si="28"/>
        <v>#REF!</v>
      </c>
      <c r="R18" s="719" t="e">
        <f t="shared" si="28"/>
        <v>#REF!</v>
      </c>
      <c r="S18" s="719" t="e">
        <f t="shared" si="28"/>
        <v>#REF!</v>
      </c>
      <c r="T18" s="719" t="e">
        <f t="shared" si="28"/>
        <v>#REF!</v>
      </c>
      <c r="U18" s="719" t="e">
        <f t="shared" si="28"/>
        <v>#REF!</v>
      </c>
      <c r="V18" s="719" t="e">
        <f t="shared" si="28"/>
        <v>#REF!</v>
      </c>
      <c r="W18" s="719" t="e">
        <f t="shared" si="28"/>
        <v>#REF!</v>
      </c>
      <c r="X18" s="719" t="e">
        <f t="shared" si="28"/>
        <v>#REF!</v>
      </c>
      <c r="Y18" s="719" t="e">
        <f t="shared" si="28"/>
        <v>#REF!</v>
      </c>
      <c r="Z18" s="471"/>
      <c r="AB18" s="434" t="s">
        <v>429</v>
      </c>
      <c r="AC18" s="444">
        <f t="shared" si="7"/>
        <v>0</v>
      </c>
      <c r="AD18" s="435" t="e">
        <f t="shared" si="8"/>
        <v>#REF!</v>
      </c>
      <c r="AE18" s="435" t="e">
        <f t="shared" si="3"/>
        <v>#REF!</v>
      </c>
      <c r="AF18" s="435" t="e">
        <f t="shared" si="9"/>
        <v>#REF!</v>
      </c>
      <c r="AG18" s="435" t="e">
        <f t="shared" si="4"/>
        <v>#REF!</v>
      </c>
      <c r="AH18" s="480" t="e">
        <f t="shared" si="16"/>
        <v>#REF!</v>
      </c>
    </row>
    <row r="19" spans="1:34">
      <c r="A19" s="434" t="s">
        <v>433</v>
      </c>
      <c r="B19" s="436" t="e">
        <f>Y19</f>
        <v>#REF!</v>
      </c>
      <c r="C19" s="435" t="e">
        <f>M19</f>
        <v>#REF!</v>
      </c>
      <c r="D19" s="798">
        <v>29505.705810000007</v>
      </c>
      <c r="E19" s="435" t="e">
        <f t="shared" si="0"/>
        <v>#REF!</v>
      </c>
      <c r="F19" s="649" t="e">
        <f t="shared" si="27"/>
        <v>#REF!</v>
      </c>
      <c r="G19" s="815">
        <v>28427.041799999995</v>
      </c>
      <c r="H19" s="719" t="e">
        <f t="shared" si="21"/>
        <v>#REF!</v>
      </c>
      <c r="I19" s="719" t="e">
        <f t="shared" si="22"/>
        <v>#REF!</v>
      </c>
      <c r="J19" s="719" t="e">
        <f t="shared" si="23"/>
        <v>#REF!</v>
      </c>
      <c r="K19" s="719" t="e">
        <f t="shared" si="24"/>
        <v>#REF!</v>
      </c>
      <c r="L19" s="719" t="e">
        <f t="shared" si="25"/>
        <v>#REF!</v>
      </c>
      <c r="M19" s="719" t="e">
        <f t="shared" ref="M19:Y19" si="29">L19+M123+M129+M136</f>
        <v>#REF!</v>
      </c>
      <c r="N19" s="719" t="e">
        <f t="shared" si="29"/>
        <v>#REF!</v>
      </c>
      <c r="O19" s="719" t="e">
        <f t="shared" si="29"/>
        <v>#REF!</v>
      </c>
      <c r="P19" s="719" t="e">
        <f t="shared" si="29"/>
        <v>#REF!</v>
      </c>
      <c r="Q19" s="719" t="e">
        <f t="shared" si="29"/>
        <v>#REF!</v>
      </c>
      <c r="R19" s="719" t="e">
        <f t="shared" si="29"/>
        <v>#REF!</v>
      </c>
      <c r="S19" s="719" t="e">
        <f t="shared" si="29"/>
        <v>#REF!</v>
      </c>
      <c r="T19" s="719" t="e">
        <f t="shared" si="29"/>
        <v>#REF!</v>
      </c>
      <c r="U19" s="719" t="e">
        <f t="shared" si="29"/>
        <v>#REF!</v>
      </c>
      <c r="V19" s="719" t="e">
        <f t="shared" si="29"/>
        <v>#REF!</v>
      </c>
      <c r="W19" s="719" t="e">
        <f t="shared" si="29"/>
        <v>#REF!</v>
      </c>
      <c r="X19" s="719" t="e">
        <f t="shared" si="29"/>
        <v>#REF!</v>
      </c>
      <c r="Y19" s="719" t="e">
        <f t="shared" si="29"/>
        <v>#REF!</v>
      </c>
      <c r="Z19" s="471"/>
      <c r="AB19" s="434" t="s">
        <v>433</v>
      </c>
      <c r="AC19" s="444">
        <f t="shared" si="7"/>
        <v>28427.041799999995</v>
      </c>
      <c r="AD19" s="435" t="e">
        <f t="shared" si="8"/>
        <v>#REF!</v>
      </c>
      <c r="AE19" s="435" t="e">
        <f t="shared" si="3"/>
        <v>#REF!</v>
      </c>
      <c r="AF19" s="435" t="e">
        <f t="shared" si="9"/>
        <v>#REF!</v>
      </c>
      <c r="AG19" s="435" t="e">
        <f t="shared" si="4"/>
        <v>#REF!</v>
      </c>
      <c r="AH19" s="480" t="e">
        <f t="shared" si="16"/>
        <v>#REF!</v>
      </c>
    </row>
    <row r="20" spans="1:34">
      <c r="A20" s="437" t="s">
        <v>434</v>
      </c>
      <c r="B20" s="438">
        <f>SUM(B21:B22)</f>
        <v>0</v>
      </c>
      <c r="C20" s="438">
        <f>SUM(C21:C22)</f>
        <v>0</v>
      </c>
      <c r="D20" s="438">
        <f>SUM(D21:D22)</f>
        <v>107.84128</v>
      </c>
      <c r="E20" s="438">
        <f t="shared" si="0"/>
        <v>0</v>
      </c>
      <c r="F20" s="466">
        <f t="shared" si="27"/>
        <v>-107.84128</v>
      </c>
      <c r="G20" s="475">
        <f t="shared" ref="G20:Y20" si="30">SUM(G21:G22)</f>
        <v>106.42743999999999</v>
      </c>
      <c r="H20" s="475">
        <f t="shared" ref="H20:K20" si="31">SUM(H21:H22)</f>
        <v>0</v>
      </c>
      <c r="I20" s="475">
        <f t="shared" si="31"/>
        <v>0</v>
      </c>
      <c r="J20" s="475">
        <f t="shared" si="31"/>
        <v>0</v>
      </c>
      <c r="K20" s="475">
        <f t="shared" si="31"/>
        <v>0</v>
      </c>
      <c r="L20" s="475">
        <f t="shared" si="30"/>
        <v>0</v>
      </c>
      <c r="M20" s="475">
        <f t="shared" si="30"/>
        <v>0</v>
      </c>
      <c r="N20" s="475">
        <f t="shared" si="30"/>
        <v>0</v>
      </c>
      <c r="O20" s="475">
        <f t="shared" si="30"/>
        <v>0</v>
      </c>
      <c r="P20" s="475">
        <f t="shared" si="30"/>
        <v>0</v>
      </c>
      <c r="Q20" s="475">
        <f t="shared" si="30"/>
        <v>0</v>
      </c>
      <c r="R20" s="475">
        <f t="shared" si="30"/>
        <v>0</v>
      </c>
      <c r="S20" s="475">
        <f t="shared" si="30"/>
        <v>0</v>
      </c>
      <c r="T20" s="475">
        <f t="shared" si="30"/>
        <v>0</v>
      </c>
      <c r="U20" s="475">
        <f t="shared" si="30"/>
        <v>0</v>
      </c>
      <c r="V20" s="475">
        <f t="shared" si="30"/>
        <v>0</v>
      </c>
      <c r="W20" s="475">
        <f t="shared" si="30"/>
        <v>0</v>
      </c>
      <c r="X20" s="475">
        <f t="shared" si="30"/>
        <v>0</v>
      </c>
      <c r="Y20" s="475">
        <f t="shared" si="30"/>
        <v>0</v>
      </c>
      <c r="AB20" s="437" t="s">
        <v>434</v>
      </c>
      <c r="AC20" s="475">
        <f t="shared" si="7"/>
        <v>106.42743999999999</v>
      </c>
      <c r="AD20" s="438">
        <f t="shared" si="8"/>
        <v>-106.42743999999999</v>
      </c>
      <c r="AE20" s="438">
        <f t="shared" si="3"/>
        <v>0</v>
      </c>
      <c r="AF20" s="438">
        <f t="shared" si="9"/>
        <v>0</v>
      </c>
      <c r="AG20" s="438">
        <f t="shared" si="4"/>
        <v>0</v>
      </c>
    </row>
    <row r="21" spans="1:34">
      <c r="A21" s="434" t="s">
        <v>435</v>
      </c>
      <c r="B21" s="435">
        <f t="shared" ref="B21:B26" si="32">Y21</f>
        <v>0</v>
      </c>
      <c r="C21" s="435">
        <f t="shared" ref="C21:C26" si="33">M21</f>
        <v>0</v>
      </c>
      <c r="D21" s="798">
        <v>20.891650000000002</v>
      </c>
      <c r="E21" s="435">
        <f t="shared" si="0"/>
        <v>0</v>
      </c>
      <c r="F21" s="466">
        <f t="shared" si="27"/>
        <v>-20.891650000000002</v>
      </c>
      <c r="G21" s="815">
        <v>20.891650000000002</v>
      </c>
      <c r="H21" s="459"/>
      <c r="I21" s="459"/>
      <c r="J21" s="459"/>
      <c r="K21" s="459"/>
      <c r="L21" s="459"/>
      <c r="M21" s="460"/>
      <c r="N21" s="459"/>
      <c r="O21" s="459"/>
      <c r="P21" s="459"/>
      <c r="Q21" s="459"/>
      <c r="R21" s="459"/>
      <c r="S21" s="459"/>
      <c r="T21" s="459"/>
      <c r="U21" s="459"/>
      <c r="V21" s="459"/>
      <c r="W21" s="459"/>
      <c r="X21" s="459"/>
      <c r="Y21" s="460"/>
      <c r="AB21" s="434" t="s">
        <v>435</v>
      </c>
      <c r="AC21" s="444">
        <f t="shared" si="7"/>
        <v>20.891650000000002</v>
      </c>
      <c r="AD21" s="435">
        <f t="shared" si="8"/>
        <v>-20.891650000000002</v>
      </c>
      <c r="AE21" s="435">
        <f t="shared" si="3"/>
        <v>0</v>
      </c>
      <c r="AF21" s="435">
        <f t="shared" si="9"/>
        <v>0</v>
      </c>
      <c r="AG21" s="435">
        <f t="shared" si="4"/>
        <v>0</v>
      </c>
    </row>
    <row r="22" spans="1:34">
      <c r="A22" s="434" t="s">
        <v>436</v>
      </c>
      <c r="B22" s="435">
        <f t="shared" si="32"/>
        <v>0</v>
      </c>
      <c r="C22" s="435">
        <f t="shared" si="33"/>
        <v>0</v>
      </c>
      <c r="D22" s="798">
        <v>86.949629999999999</v>
      </c>
      <c r="E22" s="435">
        <f t="shared" si="0"/>
        <v>0</v>
      </c>
      <c r="F22" s="466">
        <f t="shared" si="27"/>
        <v>-86.949629999999999</v>
      </c>
      <c r="G22" s="815">
        <v>85.535789999999992</v>
      </c>
      <c r="H22" s="459"/>
      <c r="I22" s="459"/>
      <c r="J22" s="459"/>
      <c r="K22" s="459"/>
      <c r="L22" s="459"/>
      <c r="M22" s="460"/>
      <c r="N22" s="459"/>
      <c r="O22" s="459"/>
      <c r="P22" s="459"/>
      <c r="Q22" s="459"/>
      <c r="R22" s="459"/>
      <c r="S22" s="459"/>
      <c r="T22" s="459"/>
      <c r="U22" s="459"/>
      <c r="V22" s="459"/>
      <c r="W22" s="459"/>
      <c r="X22" s="459"/>
      <c r="Y22" s="460"/>
      <c r="AB22" s="434" t="s">
        <v>436</v>
      </c>
      <c r="AC22" s="444">
        <f t="shared" si="7"/>
        <v>85.535789999999992</v>
      </c>
      <c r="AD22" s="435">
        <f t="shared" si="8"/>
        <v>-85.535789999999992</v>
      </c>
      <c r="AE22" s="435">
        <f t="shared" si="3"/>
        <v>0</v>
      </c>
      <c r="AF22" s="435">
        <f t="shared" si="9"/>
        <v>0</v>
      </c>
      <c r="AG22" s="435">
        <f t="shared" si="4"/>
        <v>0</v>
      </c>
    </row>
    <row r="23" spans="1:34">
      <c r="A23" s="437" t="s">
        <v>437</v>
      </c>
      <c r="B23" s="438">
        <f t="shared" si="32"/>
        <v>24.040580000000002</v>
      </c>
      <c r="C23" s="438">
        <f t="shared" si="33"/>
        <v>24.040580000000002</v>
      </c>
      <c r="D23" s="810">
        <v>24.040580000000002</v>
      </c>
      <c r="E23" s="438">
        <f t="shared" si="0"/>
        <v>0</v>
      </c>
      <c r="F23" s="649">
        <f t="shared" si="27"/>
        <v>0</v>
      </c>
      <c r="G23" s="815">
        <v>24.040580000000002</v>
      </c>
      <c r="H23" s="823">
        <f>G23</f>
        <v>24.040580000000002</v>
      </c>
      <c r="I23" s="823">
        <f t="shared" ref="I23:Y23" si="34">H23</f>
        <v>24.040580000000002</v>
      </c>
      <c r="J23" s="823">
        <f t="shared" si="34"/>
        <v>24.040580000000002</v>
      </c>
      <c r="K23" s="823">
        <f t="shared" si="34"/>
        <v>24.040580000000002</v>
      </c>
      <c r="L23" s="823">
        <f t="shared" si="34"/>
        <v>24.040580000000002</v>
      </c>
      <c r="M23" s="823">
        <f t="shared" si="34"/>
        <v>24.040580000000002</v>
      </c>
      <c r="N23" s="823">
        <f t="shared" si="34"/>
        <v>24.040580000000002</v>
      </c>
      <c r="O23" s="823">
        <f t="shared" si="34"/>
        <v>24.040580000000002</v>
      </c>
      <c r="P23" s="823">
        <f t="shared" si="34"/>
        <v>24.040580000000002</v>
      </c>
      <c r="Q23" s="823">
        <f t="shared" si="34"/>
        <v>24.040580000000002</v>
      </c>
      <c r="R23" s="823">
        <f t="shared" si="34"/>
        <v>24.040580000000002</v>
      </c>
      <c r="S23" s="823">
        <f t="shared" si="34"/>
        <v>24.040580000000002</v>
      </c>
      <c r="T23" s="823">
        <f t="shared" si="34"/>
        <v>24.040580000000002</v>
      </c>
      <c r="U23" s="823">
        <f t="shared" si="34"/>
        <v>24.040580000000002</v>
      </c>
      <c r="V23" s="823">
        <f t="shared" si="34"/>
        <v>24.040580000000002</v>
      </c>
      <c r="W23" s="823">
        <f t="shared" si="34"/>
        <v>24.040580000000002</v>
      </c>
      <c r="X23" s="823">
        <f t="shared" si="34"/>
        <v>24.040580000000002</v>
      </c>
      <c r="Y23" s="823">
        <f t="shared" si="34"/>
        <v>24.040580000000002</v>
      </c>
      <c r="Z23" s="488" t="s">
        <v>577</v>
      </c>
      <c r="AB23" s="437" t="s">
        <v>437</v>
      </c>
      <c r="AC23" s="475">
        <f t="shared" si="7"/>
        <v>24.040580000000002</v>
      </c>
      <c r="AD23" s="438">
        <f t="shared" si="8"/>
        <v>0</v>
      </c>
      <c r="AE23" s="438">
        <f t="shared" si="3"/>
        <v>24.040580000000002</v>
      </c>
      <c r="AF23" s="438">
        <f t="shared" si="9"/>
        <v>0</v>
      </c>
      <c r="AG23" s="438">
        <f t="shared" si="4"/>
        <v>24.040580000000002</v>
      </c>
      <c r="AH23" s="480">
        <f t="shared" ref="AH23:AH24" si="35">M23-G23</f>
        <v>0</v>
      </c>
    </row>
    <row r="24" spans="1:34">
      <c r="A24" s="437" t="s">
        <v>438</v>
      </c>
      <c r="B24" s="438">
        <f t="shared" si="32"/>
        <v>0</v>
      </c>
      <c r="C24" s="438">
        <f t="shared" si="33"/>
        <v>0</v>
      </c>
      <c r="D24" s="810">
        <v>8.1126100000000001</v>
      </c>
      <c r="E24" s="438">
        <f t="shared" si="0"/>
        <v>0</v>
      </c>
      <c r="F24" s="649">
        <f t="shared" si="27"/>
        <v>-8.1126100000000001</v>
      </c>
      <c r="G24" s="815">
        <v>0</v>
      </c>
      <c r="H24" s="823">
        <f t="shared" ref="H24:Y24" si="36">G24</f>
        <v>0</v>
      </c>
      <c r="I24" s="823">
        <f t="shared" si="36"/>
        <v>0</v>
      </c>
      <c r="J24" s="823">
        <f t="shared" si="36"/>
        <v>0</v>
      </c>
      <c r="K24" s="823">
        <f t="shared" si="36"/>
        <v>0</v>
      </c>
      <c r="L24" s="823">
        <f t="shared" si="36"/>
        <v>0</v>
      </c>
      <c r="M24" s="823">
        <f t="shared" si="36"/>
        <v>0</v>
      </c>
      <c r="N24" s="823">
        <f t="shared" si="36"/>
        <v>0</v>
      </c>
      <c r="O24" s="823">
        <f t="shared" si="36"/>
        <v>0</v>
      </c>
      <c r="P24" s="823">
        <f t="shared" si="36"/>
        <v>0</v>
      </c>
      <c r="Q24" s="823">
        <f t="shared" si="36"/>
        <v>0</v>
      </c>
      <c r="R24" s="823">
        <f t="shared" si="36"/>
        <v>0</v>
      </c>
      <c r="S24" s="823">
        <f t="shared" si="36"/>
        <v>0</v>
      </c>
      <c r="T24" s="823">
        <f t="shared" si="36"/>
        <v>0</v>
      </c>
      <c r="U24" s="823">
        <f t="shared" si="36"/>
        <v>0</v>
      </c>
      <c r="V24" s="823">
        <f t="shared" si="36"/>
        <v>0</v>
      </c>
      <c r="W24" s="823">
        <f t="shared" si="36"/>
        <v>0</v>
      </c>
      <c r="X24" s="823">
        <f t="shared" si="36"/>
        <v>0</v>
      </c>
      <c r="Y24" s="823">
        <f t="shared" si="36"/>
        <v>0</v>
      </c>
      <c r="Z24" s="488" t="s">
        <v>577</v>
      </c>
      <c r="AB24" s="437" t="s">
        <v>438</v>
      </c>
      <c r="AC24" s="475">
        <f t="shared" si="7"/>
        <v>0</v>
      </c>
      <c r="AD24" s="438">
        <f t="shared" si="8"/>
        <v>0</v>
      </c>
      <c r="AE24" s="438">
        <f t="shared" si="3"/>
        <v>0</v>
      </c>
      <c r="AF24" s="438">
        <f t="shared" si="9"/>
        <v>0</v>
      </c>
      <c r="AG24" s="438">
        <f t="shared" si="4"/>
        <v>0</v>
      </c>
      <c r="AH24" s="480">
        <f t="shared" si="35"/>
        <v>0</v>
      </c>
    </row>
    <row r="25" spans="1:34">
      <c r="A25" s="437" t="s">
        <v>439</v>
      </c>
      <c r="B25" s="439">
        <f t="shared" si="32"/>
        <v>0</v>
      </c>
      <c r="C25" s="439">
        <f t="shared" si="33"/>
        <v>0</v>
      </c>
      <c r="D25" s="796">
        <v>0</v>
      </c>
      <c r="E25" s="439">
        <f t="shared" si="0"/>
        <v>0</v>
      </c>
      <c r="F25" s="466">
        <f t="shared" si="27"/>
        <v>0</v>
      </c>
      <c r="G25" s="463">
        <v>0</v>
      </c>
      <c r="H25" s="460"/>
      <c r="I25" s="460"/>
      <c r="J25" s="460"/>
      <c r="K25" s="460"/>
      <c r="L25" s="460"/>
      <c r="M25" s="460"/>
      <c r="N25" s="460"/>
      <c r="O25" s="460"/>
      <c r="P25" s="460"/>
      <c r="Q25" s="460"/>
      <c r="R25" s="460"/>
      <c r="S25" s="460"/>
      <c r="T25" s="460"/>
      <c r="U25" s="460"/>
      <c r="V25" s="460"/>
      <c r="W25" s="460"/>
      <c r="X25" s="460"/>
      <c r="Y25" s="460"/>
      <c r="AB25" s="437" t="s">
        <v>439</v>
      </c>
      <c r="AC25" s="478">
        <f t="shared" si="7"/>
        <v>0</v>
      </c>
      <c r="AD25" s="439">
        <f t="shared" si="8"/>
        <v>0</v>
      </c>
      <c r="AE25" s="439">
        <f t="shared" si="3"/>
        <v>0</v>
      </c>
      <c r="AF25" s="439">
        <f t="shared" si="9"/>
        <v>0</v>
      </c>
      <c r="AG25" s="439">
        <f t="shared" si="4"/>
        <v>0</v>
      </c>
    </row>
    <row r="26" spans="1:34" ht="15.75" thickBot="1">
      <c r="A26" s="440" t="s">
        <v>440</v>
      </c>
      <c r="B26" s="441">
        <f t="shared" si="32"/>
        <v>0</v>
      </c>
      <c r="C26" s="441">
        <f t="shared" si="33"/>
        <v>0</v>
      </c>
      <c r="D26" s="797">
        <v>0</v>
      </c>
      <c r="E26" s="441">
        <f t="shared" si="0"/>
        <v>0</v>
      </c>
      <c r="F26" s="466">
        <f t="shared" si="27"/>
        <v>0</v>
      </c>
      <c r="G26" s="463">
        <v>0</v>
      </c>
      <c r="H26" s="461"/>
      <c r="I26" s="461"/>
      <c r="J26" s="461"/>
      <c r="K26" s="461"/>
      <c r="L26" s="461"/>
      <c r="M26" s="461"/>
      <c r="N26" s="461"/>
      <c r="O26" s="461"/>
      <c r="P26" s="461"/>
      <c r="Q26" s="461"/>
      <c r="R26" s="461"/>
      <c r="S26" s="461"/>
      <c r="T26" s="461"/>
      <c r="U26" s="461"/>
      <c r="V26" s="461"/>
      <c r="W26" s="461"/>
      <c r="X26" s="461"/>
      <c r="Y26" s="461"/>
      <c r="AB26" s="440" t="s">
        <v>440</v>
      </c>
      <c r="AC26" s="547">
        <f t="shared" si="7"/>
        <v>0</v>
      </c>
      <c r="AD26" s="441">
        <f t="shared" si="8"/>
        <v>0</v>
      </c>
      <c r="AE26" s="441">
        <f t="shared" si="3"/>
        <v>0</v>
      </c>
      <c r="AF26" s="441">
        <f t="shared" si="9"/>
        <v>0</v>
      </c>
      <c r="AG26" s="441">
        <f t="shared" si="4"/>
        <v>0</v>
      </c>
    </row>
    <row r="27" spans="1:34" ht="15.75" thickBot="1">
      <c r="A27" s="430" t="s">
        <v>441</v>
      </c>
      <c r="B27" s="431" t="e">
        <f>B28+B34+B37+B41+B42+B43+B44</f>
        <v>#REF!</v>
      </c>
      <c r="C27" s="431">
        <f>C28+C34+C37+C41+C42+C43+C44</f>
        <v>32641.719101179144</v>
      </c>
      <c r="D27" s="790">
        <f>D28+D34+D37+D41+D42+D43+D44</f>
        <v>29440.106619999999</v>
      </c>
      <c r="E27" s="431" t="e">
        <f t="shared" si="0"/>
        <v>#REF!</v>
      </c>
      <c r="F27" s="649">
        <f t="shared" si="27"/>
        <v>3201.6124811791451</v>
      </c>
      <c r="G27" s="476">
        <f t="shared" ref="G27:Y27" si="37">G28+G34+G37+G41+G42+G43+G44</f>
        <v>28573.897380000002</v>
      </c>
      <c r="H27" s="476">
        <f t="shared" ref="H27:J27" si="38">H28+H34+H37+H41+H42+H43+H44</f>
        <v>17220.959750000002</v>
      </c>
      <c r="I27" s="476">
        <f t="shared" si="38"/>
        <v>17220.959750000002</v>
      </c>
      <c r="J27" s="476">
        <f t="shared" si="38"/>
        <v>17220.959750000002</v>
      </c>
      <c r="K27" s="476">
        <f t="shared" si="37"/>
        <v>17220.959750000002</v>
      </c>
      <c r="L27" s="476">
        <f t="shared" si="37"/>
        <v>17220.959750000002</v>
      </c>
      <c r="M27" s="476">
        <f t="shared" si="37"/>
        <v>32641.719101179144</v>
      </c>
      <c r="N27" s="476">
        <f t="shared" si="37"/>
        <v>17220.959750000002</v>
      </c>
      <c r="O27" s="476">
        <f t="shared" si="37"/>
        <v>17220.959750000002</v>
      </c>
      <c r="P27" s="476">
        <f t="shared" si="37"/>
        <v>17220.959750000002</v>
      </c>
      <c r="Q27" s="476">
        <f t="shared" si="37"/>
        <v>17220.959750000002</v>
      </c>
      <c r="R27" s="476">
        <f t="shared" si="37"/>
        <v>17220.959750000002</v>
      </c>
      <c r="S27" s="476">
        <f t="shared" si="37"/>
        <v>17220.959750000002</v>
      </c>
      <c r="T27" s="476">
        <f t="shared" si="37"/>
        <v>17220.959750000002</v>
      </c>
      <c r="U27" s="476">
        <f t="shared" si="37"/>
        <v>17220.959750000002</v>
      </c>
      <c r="V27" s="476">
        <f t="shared" si="37"/>
        <v>17220.959750000002</v>
      </c>
      <c r="W27" s="476">
        <f t="shared" si="37"/>
        <v>17220.959750000002</v>
      </c>
      <c r="X27" s="476">
        <f t="shared" si="37"/>
        <v>17220.959750000002</v>
      </c>
      <c r="Y27" s="476" t="e">
        <f t="shared" si="37"/>
        <v>#REF!</v>
      </c>
      <c r="AB27" s="430" t="s">
        <v>441</v>
      </c>
      <c r="AC27" s="476">
        <f t="shared" si="7"/>
        <v>28573.897380000002</v>
      </c>
      <c r="AD27" s="431">
        <f t="shared" si="8"/>
        <v>4067.8217211791416</v>
      </c>
      <c r="AE27" s="431">
        <f t="shared" si="3"/>
        <v>32641.719101179144</v>
      </c>
      <c r="AF27" s="431" t="e">
        <f t="shared" si="9"/>
        <v>#REF!</v>
      </c>
      <c r="AG27" s="431" t="e">
        <f t="shared" si="4"/>
        <v>#REF!</v>
      </c>
      <c r="AH27" s="480">
        <f>M27-G27</f>
        <v>4067.8217211791416</v>
      </c>
    </row>
    <row r="28" spans="1:34">
      <c r="A28" s="432" t="s">
        <v>442</v>
      </c>
      <c r="B28" s="442">
        <f>SUM(B29:B33)</f>
        <v>0</v>
      </c>
      <c r="C28" s="442">
        <f>SUM(C29:C33)</f>
        <v>0</v>
      </c>
      <c r="D28" s="794">
        <f>SUM(D29:D33)</f>
        <v>0</v>
      </c>
      <c r="E28" s="442">
        <f t="shared" si="0"/>
        <v>0</v>
      </c>
      <c r="F28" s="466">
        <f t="shared" ref="F28:F45" si="39">C28-D28</f>
        <v>0</v>
      </c>
      <c r="G28" s="442">
        <f t="shared" ref="G28:Y28" si="40">SUM(G29:G33)</f>
        <v>0</v>
      </c>
      <c r="H28" s="442">
        <f t="shared" ref="H28:J28" si="41">SUM(H29:H33)</f>
        <v>0</v>
      </c>
      <c r="I28" s="442">
        <f t="shared" si="41"/>
        <v>0</v>
      </c>
      <c r="J28" s="442">
        <f t="shared" si="41"/>
        <v>0</v>
      </c>
      <c r="K28" s="442">
        <f t="shared" si="40"/>
        <v>0</v>
      </c>
      <c r="L28" s="442">
        <f t="shared" si="40"/>
        <v>0</v>
      </c>
      <c r="M28" s="442">
        <f t="shared" si="40"/>
        <v>0</v>
      </c>
      <c r="N28" s="442">
        <f t="shared" si="40"/>
        <v>0</v>
      </c>
      <c r="O28" s="442">
        <f t="shared" si="40"/>
        <v>0</v>
      </c>
      <c r="P28" s="442">
        <f t="shared" si="40"/>
        <v>0</v>
      </c>
      <c r="Q28" s="442">
        <f t="shared" si="40"/>
        <v>0</v>
      </c>
      <c r="R28" s="442">
        <f t="shared" si="40"/>
        <v>0</v>
      </c>
      <c r="S28" s="442">
        <f t="shared" si="40"/>
        <v>0</v>
      </c>
      <c r="T28" s="442">
        <f t="shared" si="40"/>
        <v>0</v>
      </c>
      <c r="U28" s="442">
        <f t="shared" si="40"/>
        <v>0</v>
      </c>
      <c r="V28" s="442">
        <f t="shared" si="40"/>
        <v>0</v>
      </c>
      <c r="W28" s="442">
        <f t="shared" si="40"/>
        <v>0</v>
      </c>
      <c r="X28" s="442">
        <f t="shared" si="40"/>
        <v>0</v>
      </c>
      <c r="Y28" s="442">
        <f t="shared" si="40"/>
        <v>0</v>
      </c>
      <c r="AB28" s="432" t="s">
        <v>442</v>
      </c>
      <c r="AC28" s="442">
        <f t="shared" si="7"/>
        <v>0</v>
      </c>
      <c r="AD28" s="442">
        <f t="shared" si="8"/>
        <v>0</v>
      </c>
      <c r="AE28" s="442">
        <f t="shared" si="3"/>
        <v>0</v>
      </c>
      <c r="AF28" s="442">
        <f t="shared" si="9"/>
        <v>0</v>
      </c>
      <c r="AG28" s="442">
        <f t="shared" si="4"/>
        <v>0</v>
      </c>
    </row>
    <row r="29" spans="1:34">
      <c r="A29" s="443" t="s">
        <v>443</v>
      </c>
      <c r="B29" s="444">
        <f>Y29</f>
        <v>0</v>
      </c>
      <c r="C29" s="435">
        <f>M29</f>
        <v>0</v>
      </c>
      <c r="D29" s="436">
        <v>0</v>
      </c>
      <c r="E29" s="435">
        <f t="shared" si="0"/>
        <v>0</v>
      </c>
      <c r="F29" s="466">
        <f t="shared" si="39"/>
        <v>0</v>
      </c>
      <c r="G29" s="463">
        <v>0</v>
      </c>
      <c r="H29" s="459"/>
      <c r="I29" s="459"/>
      <c r="J29" s="459"/>
      <c r="K29" s="459"/>
      <c r="L29" s="460"/>
      <c r="M29" s="460"/>
      <c r="N29" s="459"/>
      <c r="O29" s="459"/>
      <c r="P29" s="459"/>
      <c r="Q29" s="459"/>
      <c r="R29" s="459"/>
      <c r="S29" s="459"/>
      <c r="T29" s="459"/>
      <c r="U29" s="459"/>
      <c r="V29" s="459"/>
      <c r="W29" s="459"/>
      <c r="X29" s="459"/>
      <c r="Y29" s="460"/>
      <c r="AB29" s="443" t="s">
        <v>443</v>
      </c>
      <c r="AC29" s="444">
        <f t="shared" si="7"/>
        <v>0</v>
      </c>
      <c r="AD29" s="435">
        <f t="shared" si="8"/>
        <v>0</v>
      </c>
      <c r="AE29" s="435">
        <f t="shared" si="3"/>
        <v>0</v>
      </c>
      <c r="AF29" s="435">
        <f t="shared" si="9"/>
        <v>0</v>
      </c>
      <c r="AG29" s="435">
        <f t="shared" si="4"/>
        <v>0</v>
      </c>
    </row>
    <row r="30" spans="1:34">
      <c r="A30" s="445" t="s">
        <v>435</v>
      </c>
      <c r="B30" s="446">
        <f>Y30</f>
        <v>0</v>
      </c>
      <c r="C30" s="446">
        <f>M30</f>
        <v>0</v>
      </c>
      <c r="D30" s="795">
        <v>0</v>
      </c>
      <c r="E30" s="446">
        <f t="shared" si="0"/>
        <v>0</v>
      </c>
      <c r="F30" s="466">
        <f t="shared" si="39"/>
        <v>0</v>
      </c>
      <c r="G30" s="463">
        <v>0</v>
      </c>
      <c r="H30" s="459"/>
      <c r="I30" s="459"/>
      <c r="J30" s="459"/>
      <c r="K30" s="459"/>
      <c r="L30" s="460"/>
      <c r="M30" s="460"/>
      <c r="N30" s="459"/>
      <c r="O30" s="459"/>
      <c r="P30" s="459"/>
      <c r="Q30" s="459"/>
      <c r="R30" s="459"/>
      <c r="S30" s="459"/>
      <c r="T30" s="459"/>
      <c r="U30" s="459"/>
      <c r="V30" s="459"/>
      <c r="W30" s="459"/>
      <c r="X30" s="459"/>
      <c r="Y30" s="460"/>
      <c r="AB30" s="445" t="s">
        <v>435</v>
      </c>
      <c r="AC30" s="548">
        <f t="shared" si="7"/>
        <v>0</v>
      </c>
      <c r="AD30" s="446">
        <f t="shared" si="8"/>
        <v>0</v>
      </c>
      <c r="AE30" s="446">
        <f t="shared" si="3"/>
        <v>0</v>
      </c>
      <c r="AF30" s="446">
        <f t="shared" si="9"/>
        <v>0</v>
      </c>
      <c r="AG30" s="446">
        <f t="shared" si="4"/>
        <v>0</v>
      </c>
    </row>
    <row r="31" spans="1:34">
      <c r="A31" s="445" t="s">
        <v>444</v>
      </c>
      <c r="B31" s="446">
        <f>Y31</f>
        <v>0</v>
      </c>
      <c r="C31" s="446">
        <f>M31</f>
        <v>0</v>
      </c>
      <c r="D31" s="795">
        <v>0</v>
      </c>
      <c r="E31" s="446">
        <f t="shared" si="0"/>
        <v>0</v>
      </c>
      <c r="F31" s="466">
        <f t="shared" si="39"/>
        <v>0</v>
      </c>
      <c r="G31" s="463">
        <v>0</v>
      </c>
      <c r="H31" s="459"/>
      <c r="I31" s="459"/>
      <c r="J31" s="459"/>
      <c r="K31" s="459"/>
      <c r="L31" s="460"/>
      <c r="M31" s="460"/>
      <c r="N31" s="459"/>
      <c r="O31" s="459"/>
      <c r="P31" s="459"/>
      <c r="Q31" s="459"/>
      <c r="R31" s="459"/>
      <c r="S31" s="459"/>
      <c r="T31" s="459"/>
      <c r="U31" s="459"/>
      <c r="V31" s="459"/>
      <c r="W31" s="459"/>
      <c r="X31" s="459"/>
      <c r="Y31" s="460"/>
      <c r="AB31" s="445" t="s">
        <v>444</v>
      </c>
      <c r="AC31" s="548">
        <f t="shared" si="7"/>
        <v>0</v>
      </c>
      <c r="AD31" s="446">
        <f t="shared" si="8"/>
        <v>0</v>
      </c>
      <c r="AE31" s="446">
        <f t="shared" si="3"/>
        <v>0</v>
      </c>
      <c r="AF31" s="446">
        <f t="shared" si="9"/>
        <v>0</v>
      </c>
      <c r="AG31" s="446">
        <f t="shared" si="4"/>
        <v>0</v>
      </c>
    </row>
    <row r="32" spans="1:34">
      <c r="A32" s="434" t="s">
        <v>445</v>
      </c>
      <c r="B32" s="435">
        <f>Y32</f>
        <v>0</v>
      </c>
      <c r="C32" s="435">
        <f>M32</f>
        <v>0</v>
      </c>
      <c r="D32" s="436">
        <v>0</v>
      </c>
      <c r="E32" s="435">
        <f t="shared" si="0"/>
        <v>0</v>
      </c>
      <c r="F32" s="466">
        <f t="shared" si="39"/>
        <v>0</v>
      </c>
      <c r="G32" s="463">
        <v>0</v>
      </c>
      <c r="H32" s="459"/>
      <c r="I32" s="459"/>
      <c r="J32" s="459"/>
      <c r="K32" s="459"/>
      <c r="L32" s="460"/>
      <c r="M32" s="460"/>
      <c r="N32" s="459"/>
      <c r="O32" s="459"/>
      <c r="P32" s="459"/>
      <c r="Q32" s="459"/>
      <c r="R32" s="459"/>
      <c r="S32" s="459"/>
      <c r="T32" s="459"/>
      <c r="U32" s="459"/>
      <c r="V32" s="459"/>
      <c r="W32" s="459"/>
      <c r="X32" s="459"/>
      <c r="Y32" s="460"/>
      <c r="AB32" s="434" t="s">
        <v>445</v>
      </c>
      <c r="AC32" s="444">
        <f t="shared" si="7"/>
        <v>0</v>
      </c>
      <c r="AD32" s="435">
        <f t="shared" si="8"/>
        <v>0</v>
      </c>
      <c r="AE32" s="435">
        <f t="shared" si="3"/>
        <v>0</v>
      </c>
      <c r="AF32" s="435">
        <f t="shared" si="9"/>
        <v>0</v>
      </c>
      <c r="AG32" s="435">
        <f t="shared" si="4"/>
        <v>0</v>
      </c>
    </row>
    <row r="33" spans="1:36">
      <c r="A33" s="434" t="s">
        <v>446</v>
      </c>
      <c r="B33" s="435">
        <f>Y33</f>
        <v>0</v>
      </c>
      <c r="C33" s="435">
        <f>M33</f>
        <v>0</v>
      </c>
      <c r="D33" s="436">
        <v>0</v>
      </c>
      <c r="E33" s="435">
        <f t="shared" si="0"/>
        <v>0</v>
      </c>
      <c r="F33" s="466">
        <f t="shared" si="39"/>
        <v>0</v>
      </c>
      <c r="G33" s="463">
        <v>0</v>
      </c>
      <c r="H33" s="459"/>
      <c r="I33" s="459"/>
      <c r="J33" s="459"/>
      <c r="K33" s="459"/>
      <c r="L33" s="460"/>
      <c r="M33" s="460"/>
      <c r="N33" s="459"/>
      <c r="O33" s="459"/>
      <c r="P33" s="459"/>
      <c r="Q33" s="459"/>
      <c r="R33" s="459"/>
      <c r="S33" s="459"/>
      <c r="T33" s="459"/>
      <c r="U33" s="459"/>
      <c r="V33" s="459"/>
      <c r="W33" s="459"/>
      <c r="X33" s="459"/>
      <c r="Y33" s="460"/>
      <c r="AB33" s="434" t="s">
        <v>446</v>
      </c>
      <c r="AC33" s="444">
        <f t="shared" si="7"/>
        <v>0</v>
      </c>
      <c r="AD33" s="435">
        <f t="shared" si="8"/>
        <v>0</v>
      </c>
      <c r="AE33" s="435">
        <f t="shared" si="3"/>
        <v>0</v>
      </c>
      <c r="AF33" s="435">
        <f t="shared" si="9"/>
        <v>0</v>
      </c>
      <c r="AG33" s="435">
        <f t="shared" si="4"/>
        <v>0</v>
      </c>
    </row>
    <row r="34" spans="1:36">
      <c r="A34" s="437" t="s">
        <v>447</v>
      </c>
      <c r="B34" s="438">
        <f>SUM(B35:B36)</f>
        <v>759.1960600000001</v>
      </c>
      <c r="C34" s="438">
        <f>SUM(C35:C36)</f>
        <v>759.1960600000001</v>
      </c>
      <c r="D34" s="792">
        <f>SUM(D35:D36)</f>
        <v>759.12765000000002</v>
      </c>
      <c r="E34" s="438">
        <f t="shared" si="0"/>
        <v>0</v>
      </c>
      <c r="F34" s="649">
        <f t="shared" si="39"/>
        <v>6.8410000000085347E-2</v>
      </c>
      <c r="G34" s="475">
        <f t="shared" ref="G34:Y34" si="42">SUM(G35:G36)</f>
        <v>759.1960600000001</v>
      </c>
      <c r="H34" s="475">
        <f t="shared" ref="H34:J34" si="43">SUM(H35:H36)</f>
        <v>759.1960600000001</v>
      </c>
      <c r="I34" s="475">
        <f t="shared" si="43"/>
        <v>759.1960600000001</v>
      </c>
      <c r="J34" s="475">
        <f t="shared" si="43"/>
        <v>759.1960600000001</v>
      </c>
      <c r="K34" s="475">
        <f t="shared" si="42"/>
        <v>759.1960600000001</v>
      </c>
      <c r="L34" s="475">
        <f t="shared" si="42"/>
        <v>759.1960600000001</v>
      </c>
      <c r="M34" s="475">
        <f t="shared" si="42"/>
        <v>759.1960600000001</v>
      </c>
      <c r="N34" s="475">
        <f t="shared" si="42"/>
        <v>759.1960600000001</v>
      </c>
      <c r="O34" s="475">
        <f t="shared" si="42"/>
        <v>759.1960600000001</v>
      </c>
      <c r="P34" s="475">
        <f t="shared" si="42"/>
        <v>759.1960600000001</v>
      </c>
      <c r="Q34" s="475">
        <f t="shared" si="42"/>
        <v>759.1960600000001</v>
      </c>
      <c r="R34" s="475">
        <f t="shared" si="42"/>
        <v>759.1960600000001</v>
      </c>
      <c r="S34" s="475">
        <f t="shared" si="42"/>
        <v>759.1960600000001</v>
      </c>
      <c r="T34" s="475">
        <f t="shared" si="42"/>
        <v>759.1960600000001</v>
      </c>
      <c r="U34" s="475">
        <f t="shared" si="42"/>
        <v>759.1960600000001</v>
      </c>
      <c r="V34" s="475">
        <f t="shared" si="42"/>
        <v>759.1960600000001</v>
      </c>
      <c r="W34" s="475">
        <f t="shared" si="42"/>
        <v>759.1960600000001</v>
      </c>
      <c r="X34" s="475">
        <f t="shared" si="42"/>
        <v>759.1960600000001</v>
      </c>
      <c r="Y34" s="475">
        <f t="shared" si="42"/>
        <v>759.1960600000001</v>
      </c>
      <c r="AB34" s="437" t="s">
        <v>447</v>
      </c>
      <c r="AC34" s="475">
        <f t="shared" si="7"/>
        <v>759.1960600000001</v>
      </c>
      <c r="AD34" s="438">
        <f t="shared" si="8"/>
        <v>0</v>
      </c>
      <c r="AE34" s="438">
        <f t="shared" si="3"/>
        <v>759.1960600000001</v>
      </c>
      <c r="AF34" s="438">
        <f t="shared" si="9"/>
        <v>0</v>
      </c>
      <c r="AG34" s="438">
        <f t="shared" si="4"/>
        <v>759.1960600000001</v>
      </c>
      <c r="AH34" s="480">
        <f t="shared" ref="AH34:AH38" si="44">M34-G34</f>
        <v>0</v>
      </c>
    </row>
    <row r="35" spans="1:36">
      <c r="A35" s="434" t="s">
        <v>448</v>
      </c>
      <c r="B35" s="435">
        <f>Y35</f>
        <v>759.10485000000006</v>
      </c>
      <c r="C35" s="435">
        <f>M35</f>
        <v>759.10485000000006</v>
      </c>
      <c r="D35" s="798">
        <v>759.10485000000006</v>
      </c>
      <c r="E35" s="435">
        <f t="shared" si="0"/>
        <v>0</v>
      </c>
      <c r="F35" s="649">
        <f t="shared" si="39"/>
        <v>0</v>
      </c>
      <c r="G35" s="815">
        <v>759.10485000000006</v>
      </c>
      <c r="H35" s="823">
        <f>G35</f>
        <v>759.10485000000006</v>
      </c>
      <c r="I35" s="823">
        <f t="shared" ref="I35:Y35" si="45">H35</f>
        <v>759.10485000000006</v>
      </c>
      <c r="J35" s="823">
        <f t="shared" si="45"/>
        <v>759.10485000000006</v>
      </c>
      <c r="K35" s="823">
        <f t="shared" si="45"/>
        <v>759.10485000000006</v>
      </c>
      <c r="L35" s="823">
        <f t="shared" si="45"/>
        <v>759.10485000000006</v>
      </c>
      <c r="M35" s="823">
        <f t="shared" si="45"/>
        <v>759.10485000000006</v>
      </c>
      <c r="N35" s="823">
        <f t="shared" si="45"/>
        <v>759.10485000000006</v>
      </c>
      <c r="O35" s="823">
        <f t="shared" si="45"/>
        <v>759.10485000000006</v>
      </c>
      <c r="P35" s="823">
        <f t="shared" si="45"/>
        <v>759.10485000000006</v>
      </c>
      <c r="Q35" s="823">
        <f t="shared" si="45"/>
        <v>759.10485000000006</v>
      </c>
      <c r="R35" s="823">
        <f t="shared" si="45"/>
        <v>759.10485000000006</v>
      </c>
      <c r="S35" s="823">
        <f t="shared" si="45"/>
        <v>759.10485000000006</v>
      </c>
      <c r="T35" s="823">
        <f t="shared" si="45"/>
        <v>759.10485000000006</v>
      </c>
      <c r="U35" s="823">
        <f t="shared" si="45"/>
        <v>759.10485000000006</v>
      </c>
      <c r="V35" s="823">
        <f t="shared" si="45"/>
        <v>759.10485000000006</v>
      </c>
      <c r="W35" s="823">
        <f t="shared" si="45"/>
        <v>759.10485000000006</v>
      </c>
      <c r="X35" s="823">
        <f t="shared" si="45"/>
        <v>759.10485000000006</v>
      </c>
      <c r="Y35" s="823">
        <f t="shared" si="45"/>
        <v>759.10485000000006</v>
      </c>
      <c r="AB35" s="434" t="s">
        <v>448</v>
      </c>
      <c r="AC35" s="444">
        <f t="shared" si="7"/>
        <v>759.10485000000006</v>
      </c>
      <c r="AD35" s="435">
        <f t="shared" si="8"/>
        <v>0</v>
      </c>
      <c r="AE35" s="435">
        <f t="shared" si="3"/>
        <v>759.10485000000006</v>
      </c>
      <c r="AF35" s="435">
        <f t="shared" si="9"/>
        <v>0</v>
      </c>
      <c r="AG35" s="435">
        <f t="shared" si="4"/>
        <v>759.10485000000006</v>
      </c>
      <c r="AH35" s="480">
        <f t="shared" si="44"/>
        <v>0</v>
      </c>
    </row>
    <row r="36" spans="1:36">
      <c r="A36" s="434" t="s">
        <v>429</v>
      </c>
      <c r="B36" s="435">
        <f>Y36</f>
        <v>9.1209999999999999E-2</v>
      </c>
      <c r="C36" s="435">
        <f>M36</f>
        <v>9.1209999999999999E-2</v>
      </c>
      <c r="D36" s="798">
        <v>2.2800000000000001E-2</v>
      </c>
      <c r="E36" s="435">
        <f t="shared" si="0"/>
        <v>0</v>
      </c>
      <c r="F36" s="650">
        <f t="shared" si="39"/>
        <v>6.8409999999999999E-2</v>
      </c>
      <c r="G36" s="463">
        <v>9.1209999999999999E-2</v>
      </c>
      <c r="H36" s="823">
        <f t="shared" ref="H36:Y36" si="46">G36</f>
        <v>9.1209999999999999E-2</v>
      </c>
      <c r="I36" s="823">
        <f t="shared" si="46"/>
        <v>9.1209999999999999E-2</v>
      </c>
      <c r="J36" s="823">
        <f t="shared" si="46"/>
        <v>9.1209999999999999E-2</v>
      </c>
      <c r="K36" s="823">
        <f t="shared" si="46"/>
        <v>9.1209999999999999E-2</v>
      </c>
      <c r="L36" s="823">
        <f t="shared" si="46"/>
        <v>9.1209999999999999E-2</v>
      </c>
      <c r="M36" s="823">
        <f t="shared" si="46"/>
        <v>9.1209999999999999E-2</v>
      </c>
      <c r="N36" s="823">
        <f t="shared" si="46"/>
        <v>9.1209999999999999E-2</v>
      </c>
      <c r="O36" s="823">
        <f t="shared" si="46"/>
        <v>9.1209999999999999E-2</v>
      </c>
      <c r="P36" s="823">
        <f t="shared" si="46"/>
        <v>9.1209999999999999E-2</v>
      </c>
      <c r="Q36" s="823">
        <f t="shared" si="46"/>
        <v>9.1209999999999999E-2</v>
      </c>
      <c r="R36" s="823">
        <f t="shared" si="46"/>
        <v>9.1209999999999999E-2</v>
      </c>
      <c r="S36" s="823">
        <f t="shared" si="46"/>
        <v>9.1209999999999999E-2</v>
      </c>
      <c r="T36" s="823">
        <f t="shared" si="46"/>
        <v>9.1209999999999999E-2</v>
      </c>
      <c r="U36" s="823">
        <f t="shared" si="46"/>
        <v>9.1209999999999999E-2</v>
      </c>
      <c r="V36" s="823">
        <f t="shared" si="46"/>
        <v>9.1209999999999999E-2</v>
      </c>
      <c r="W36" s="823">
        <f t="shared" si="46"/>
        <v>9.1209999999999999E-2</v>
      </c>
      <c r="X36" s="823">
        <f t="shared" si="46"/>
        <v>9.1209999999999999E-2</v>
      </c>
      <c r="Y36" s="823">
        <f t="shared" si="46"/>
        <v>9.1209999999999999E-2</v>
      </c>
      <c r="AB36" s="434" t="s">
        <v>429</v>
      </c>
      <c r="AC36" s="444">
        <f t="shared" si="7"/>
        <v>9.1209999999999999E-2</v>
      </c>
      <c r="AD36" s="435">
        <f t="shared" si="8"/>
        <v>0</v>
      </c>
      <c r="AE36" s="435">
        <f t="shared" si="3"/>
        <v>9.1209999999999999E-2</v>
      </c>
      <c r="AF36" s="435">
        <f t="shared" si="9"/>
        <v>0</v>
      </c>
      <c r="AG36" s="435">
        <f t="shared" si="4"/>
        <v>9.1209999999999999E-2</v>
      </c>
      <c r="AH36" s="480">
        <f t="shared" si="44"/>
        <v>0</v>
      </c>
    </row>
    <row r="37" spans="1:36">
      <c r="A37" s="437" t="s">
        <v>449</v>
      </c>
      <c r="B37" s="438">
        <f>SUM(B38:B40)</f>
        <v>13224.69569</v>
      </c>
      <c r="C37" s="438">
        <f>SUM(C38:C40)</f>
        <v>13224.69569</v>
      </c>
      <c r="D37" s="792">
        <f>SUM(D38:D40)</f>
        <v>10936.787050000001</v>
      </c>
      <c r="E37" s="438">
        <f t="shared" si="0"/>
        <v>0</v>
      </c>
      <c r="F37" s="649">
        <f t="shared" si="39"/>
        <v>2287.9086399999997</v>
      </c>
      <c r="G37" s="438">
        <f t="shared" ref="G37:Y37" si="47">SUM(G38:G40)</f>
        <v>13224.69569</v>
      </c>
      <c r="H37" s="438">
        <f t="shared" ref="H37:J37" si="48">SUM(H38:H40)</f>
        <v>13224.69569</v>
      </c>
      <c r="I37" s="438">
        <f t="shared" si="48"/>
        <v>13224.69569</v>
      </c>
      <c r="J37" s="438">
        <f t="shared" si="48"/>
        <v>13224.69569</v>
      </c>
      <c r="K37" s="438">
        <f t="shared" si="47"/>
        <v>13224.69569</v>
      </c>
      <c r="L37" s="438">
        <f t="shared" si="47"/>
        <v>13224.69569</v>
      </c>
      <c r="M37" s="438">
        <f t="shared" si="47"/>
        <v>13224.69569</v>
      </c>
      <c r="N37" s="438">
        <f t="shared" si="47"/>
        <v>13224.69569</v>
      </c>
      <c r="O37" s="438">
        <f t="shared" si="47"/>
        <v>13224.69569</v>
      </c>
      <c r="P37" s="438">
        <f t="shared" si="47"/>
        <v>13224.69569</v>
      </c>
      <c r="Q37" s="438">
        <f t="shared" si="47"/>
        <v>13224.69569</v>
      </c>
      <c r="R37" s="438">
        <f t="shared" si="47"/>
        <v>13224.69569</v>
      </c>
      <c r="S37" s="438">
        <f t="shared" si="47"/>
        <v>13224.69569</v>
      </c>
      <c r="T37" s="438">
        <f t="shared" si="47"/>
        <v>13224.69569</v>
      </c>
      <c r="U37" s="438">
        <f t="shared" si="47"/>
        <v>13224.69569</v>
      </c>
      <c r="V37" s="438">
        <f t="shared" si="47"/>
        <v>13224.69569</v>
      </c>
      <c r="W37" s="438">
        <f t="shared" si="47"/>
        <v>13224.69569</v>
      </c>
      <c r="X37" s="438">
        <f t="shared" si="47"/>
        <v>13224.69569</v>
      </c>
      <c r="Y37" s="438">
        <f t="shared" si="47"/>
        <v>13224.69569</v>
      </c>
      <c r="AB37" s="437" t="s">
        <v>449</v>
      </c>
      <c r="AC37" s="475">
        <f t="shared" si="7"/>
        <v>13224.69569</v>
      </c>
      <c r="AD37" s="438">
        <f t="shared" si="8"/>
        <v>0</v>
      </c>
      <c r="AE37" s="438">
        <f t="shared" si="3"/>
        <v>13224.69569</v>
      </c>
      <c r="AF37" s="438">
        <f t="shared" si="9"/>
        <v>0</v>
      </c>
      <c r="AG37" s="438">
        <f t="shared" si="4"/>
        <v>13224.69569</v>
      </c>
      <c r="AH37" s="480">
        <f t="shared" si="44"/>
        <v>0</v>
      </c>
    </row>
    <row r="38" spans="1:36">
      <c r="A38" s="434" t="s">
        <v>450</v>
      </c>
      <c r="B38" s="436">
        <f t="shared" ref="B38:B44" si="49">Y38</f>
        <v>2000.49982</v>
      </c>
      <c r="C38" s="436">
        <f t="shared" ref="C38:C44" si="50">M38</f>
        <v>2000.49982</v>
      </c>
      <c r="D38" s="798">
        <v>2456.23587</v>
      </c>
      <c r="E38" s="436">
        <f t="shared" si="0"/>
        <v>0</v>
      </c>
      <c r="F38" s="649">
        <f t="shared" si="39"/>
        <v>-455.73604999999998</v>
      </c>
      <c r="G38" s="815">
        <v>2000.49982</v>
      </c>
      <c r="H38" s="823">
        <f>G38</f>
        <v>2000.49982</v>
      </c>
      <c r="I38" s="823">
        <f t="shared" ref="I38:Y42" si="51">H38</f>
        <v>2000.49982</v>
      </c>
      <c r="J38" s="823">
        <f t="shared" si="51"/>
        <v>2000.49982</v>
      </c>
      <c r="K38" s="823">
        <f t="shared" si="51"/>
        <v>2000.49982</v>
      </c>
      <c r="L38" s="823">
        <f t="shared" si="51"/>
        <v>2000.49982</v>
      </c>
      <c r="M38" s="823">
        <f t="shared" si="51"/>
        <v>2000.49982</v>
      </c>
      <c r="N38" s="823">
        <f t="shared" si="51"/>
        <v>2000.49982</v>
      </c>
      <c r="O38" s="823">
        <f t="shared" si="51"/>
        <v>2000.49982</v>
      </c>
      <c r="P38" s="823">
        <f t="shared" si="51"/>
        <v>2000.49982</v>
      </c>
      <c r="Q38" s="823">
        <f t="shared" si="51"/>
        <v>2000.49982</v>
      </c>
      <c r="R38" s="823">
        <f t="shared" si="51"/>
        <v>2000.49982</v>
      </c>
      <c r="S38" s="823">
        <f t="shared" si="51"/>
        <v>2000.49982</v>
      </c>
      <c r="T38" s="823">
        <f t="shared" si="51"/>
        <v>2000.49982</v>
      </c>
      <c r="U38" s="823">
        <f t="shared" si="51"/>
        <v>2000.49982</v>
      </c>
      <c r="V38" s="823">
        <f t="shared" si="51"/>
        <v>2000.49982</v>
      </c>
      <c r="W38" s="823">
        <f t="shared" si="51"/>
        <v>2000.49982</v>
      </c>
      <c r="X38" s="823">
        <f t="shared" si="51"/>
        <v>2000.49982</v>
      </c>
      <c r="Y38" s="823">
        <f t="shared" si="51"/>
        <v>2000.49982</v>
      </c>
      <c r="Z38" s="488" t="s">
        <v>577</v>
      </c>
      <c r="AB38" s="434" t="s">
        <v>450</v>
      </c>
      <c r="AC38" s="549">
        <f t="shared" si="7"/>
        <v>2000.49982</v>
      </c>
      <c r="AD38" s="436">
        <f t="shared" si="8"/>
        <v>0</v>
      </c>
      <c r="AE38" s="436">
        <f t="shared" si="3"/>
        <v>2000.49982</v>
      </c>
      <c r="AF38" s="436">
        <f t="shared" si="9"/>
        <v>0</v>
      </c>
      <c r="AG38" s="436">
        <f t="shared" si="4"/>
        <v>2000.49982</v>
      </c>
      <c r="AH38" s="480">
        <f t="shared" si="44"/>
        <v>0</v>
      </c>
    </row>
    <row r="39" spans="1:36">
      <c r="A39" s="434" t="s">
        <v>451</v>
      </c>
      <c r="B39" s="435">
        <f t="shared" si="49"/>
        <v>0</v>
      </c>
      <c r="C39" s="435">
        <f t="shared" si="50"/>
        <v>0</v>
      </c>
      <c r="D39" s="435">
        <v>0</v>
      </c>
      <c r="E39" s="435">
        <f t="shared" si="0"/>
        <v>0</v>
      </c>
      <c r="F39" s="466">
        <f t="shared" si="39"/>
        <v>0</v>
      </c>
      <c r="G39" s="463">
        <v>0</v>
      </c>
      <c r="H39" s="459"/>
      <c r="I39" s="459"/>
      <c r="J39" s="459"/>
      <c r="K39" s="459"/>
      <c r="L39" s="460"/>
      <c r="M39" s="460"/>
      <c r="N39" s="459"/>
      <c r="O39" s="459"/>
      <c r="P39" s="459"/>
      <c r="Q39" s="459"/>
      <c r="R39" s="459"/>
      <c r="S39" s="459"/>
      <c r="T39" s="459"/>
      <c r="U39" s="459"/>
      <c r="V39" s="459"/>
      <c r="W39" s="459"/>
      <c r="X39" s="459"/>
      <c r="Y39" s="460"/>
      <c r="Z39" s="488" t="s">
        <v>577</v>
      </c>
      <c r="AB39" s="434" t="s">
        <v>451</v>
      </c>
      <c r="AC39" s="444">
        <f t="shared" si="7"/>
        <v>0</v>
      </c>
      <c r="AD39" s="435">
        <f t="shared" si="8"/>
        <v>0</v>
      </c>
      <c r="AE39" s="435">
        <f t="shared" si="3"/>
        <v>0</v>
      </c>
      <c r="AF39" s="435">
        <f t="shared" si="9"/>
        <v>0</v>
      </c>
      <c r="AG39" s="435">
        <f t="shared" si="4"/>
        <v>0</v>
      </c>
    </row>
    <row r="40" spans="1:36" ht="14.25" customHeight="1">
      <c r="A40" s="434" t="s">
        <v>452</v>
      </c>
      <c r="B40" s="435">
        <f t="shared" si="49"/>
        <v>11224.19587</v>
      </c>
      <c r="C40" s="436">
        <f t="shared" si="50"/>
        <v>11224.19587</v>
      </c>
      <c r="D40" s="798">
        <v>8480.5511800000004</v>
      </c>
      <c r="E40" s="436">
        <f t="shared" si="0"/>
        <v>0</v>
      </c>
      <c r="F40" s="649">
        <f t="shared" si="39"/>
        <v>2743.6446899999992</v>
      </c>
      <c r="G40" s="815">
        <v>11224.19587</v>
      </c>
      <c r="H40" s="823">
        <f>G40</f>
        <v>11224.19587</v>
      </c>
      <c r="I40" s="823">
        <f t="shared" si="51"/>
        <v>11224.19587</v>
      </c>
      <c r="J40" s="823">
        <f t="shared" si="51"/>
        <v>11224.19587</v>
      </c>
      <c r="K40" s="823">
        <f t="shared" si="51"/>
        <v>11224.19587</v>
      </c>
      <c r="L40" s="823">
        <f t="shared" si="51"/>
        <v>11224.19587</v>
      </c>
      <c r="M40" s="823">
        <f t="shared" si="51"/>
        <v>11224.19587</v>
      </c>
      <c r="N40" s="823">
        <f t="shared" si="51"/>
        <v>11224.19587</v>
      </c>
      <c r="O40" s="823">
        <f t="shared" si="51"/>
        <v>11224.19587</v>
      </c>
      <c r="P40" s="823">
        <f t="shared" si="51"/>
        <v>11224.19587</v>
      </c>
      <c r="Q40" s="823">
        <f t="shared" si="51"/>
        <v>11224.19587</v>
      </c>
      <c r="R40" s="823">
        <f t="shared" si="51"/>
        <v>11224.19587</v>
      </c>
      <c r="S40" s="823">
        <f t="shared" si="51"/>
        <v>11224.19587</v>
      </c>
      <c r="T40" s="823">
        <f t="shared" si="51"/>
        <v>11224.19587</v>
      </c>
      <c r="U40" s="823">
        <f t="shared" si="51"/>
        <v>11224.19587</v>
      </c>
      <c r="V40" s="823">
        <f t="shared" si="51"/>
        <v>11224.19587</v>
      </c>
      <c r="W40" s="823">
        <f t="shared" si="51"/>
        <v>11224.19587</v>
      </c>
      <c r="X40" s="823">
        <f t="shared" si="51"/>
        <v>11224.19587</v>
      </c>
      <c r="Y40" s="823">
        <f t="shared" si="51"/>
        <v>11224.19587</v>
      </c>
      <c r="Z40" s="488" t="s">
        <v>577</v>
      </c>
      <c r="AB40" s="434" t="s">
        <v>452</v>
      </c>
      <c r="AC40" s="549">
        <f t="shared" si="7"/>
        <v>11224.19587</v>
      </c>
      <c r="AD40" s="436">
        <f t="shared" si="8"/>
        <v>0</v>
      </c>
      <c r="AE40" s="436">
        <f t="shared" si="3"/>
        <v>11224.19587</v>
      </c>
      <c r="AF40" s="436">
        <f t="shared" si="9"/>
        <v>0</v>
      </c>
      <c r="AG40" s="436">
        <f t="shared" si="4"/>
        <v>11224.19587</v>
      </c>
      <c r="AH40" s="480">
        <f>M40-G40</f>
        <v>0</v>
      </c>
    </row>
    <row r="41" spans="1:36">
      <c r="A41" s="437" t="s">
        <v>453</v>
      </c>
      <c r="B41" s="438">
        <f t="shared" si="49"/>
        <v>0</v>
      </c>
      <c r="C41" s="438">
        <f t="shared" si="50"/>
        <v>0</v>
      </c>
      <c r="D41" s="438">
        <v>0</v>
      </c>
      <c r="E41" s="438">
        <f t="shared" si="0"/>
        <v>0</v>
      </c>
      <c r="F41" s="466">
        <f t="shared" si="39"/>
        <v>0</v>
      </c>
      <c r="G41" s="463">
        <v>0</v>
      </c>
      <c r="H41" s="459"/>
      <c r="I41" s="459"/>
      <c r="J41" s="459"/>
      <c r="K41" s="459"/>
      <c r="L41" s="460"/>
      <c r="M41" s="460"/>
      <c r="N41" s="459"/>
      <c r="O41" s="459"/>
      <c r="P41" s="459"/>
      <c r="Q41" s="459"/>
      <c r="R41" s="459"/>
      <c r="S41" s="459"/>
      <c r="T41" s="459"/>
      <c r="U41" s="459"/>
      <c r="V41" s="459"/>
      <c r="W41" s="459"/>
      <c r="X41" s="459"/>
      <c r="Y41" s="460"/>
      <c r="AB41" s="437" t="s">
        <v>453</v>
      </c>
      <c r="AC41" s="475">
        <f t="shared" si="7"/>
        <v>0</v>
      </c>
      <c r="AD41" s="438">
        <f t="shared" si="8"/>
        <v>0</v>
      </c>
      <c r="AE41" s="438">
        <f t="shared" si="3"/>
        <v>0</v>
      </c>
      <c r="AF41" s="438">
        <f t="shared" si="9"/>
        <v>0</v>
      </c>
      <c r="AG41" s="438">
        <f t="shared" si="4"/>
        <v>0</v>
      </c>
    </row>
    <row r="42" spans="1:36">
      <c r="A42" s="437" t="s">
        <v>454</v>
      </c>
      <c r="B42" s="438">
        <f t="shared" si="49"/>
        <v>3237.0680000000002</v>
      </c>
      <c r="C42" s="438">
        <f t="shared" si="50"/>
        <v>3237.0680000000002</v>
      </c>
      <c r="D42" s="810">
        <v>3306.87482</v>
      </c>
      <c r="E42" s="438">
        <f t="shared" si="0"/>
        <v>0</v>
      </c>
      <c r="F42" s="649">
        <f t="shared" si="39"/>
        <v>-69.806819999999789</v>
      </c>
      <c r="G42" s="815">
        <v>3237.0680000000002</v>
      </c>
      <c r="H42" s="823">
        <f>G42</f>
        <v>3237.0680000000002</v>
      </c>
      <c r="I42" s="823">
        <f t="shared" si="51"/>
        <v>3237.0680000000002</v>
      </c>
      <c r="J42" s="823">
        <f t="shared" si="51"/>
        <v>3237.0680000000002</v>
      </c>
      <c r="K42" s="823">
        <f t="shared" si="51"/>
        <v>3237.0680000000002</v>
      </c>
      <c r="L42" s="823">
        <f t="shared" si="51"/>
        <v>3237.0680000000002</v>
      </c>
      <c r="M42" s="823">
        <f t="shared" si="51"/>
        <v>3237.0680000000002</v>
      </c>
      <c r="N42" s="823">
        <f t="shared" si="51"/>
        <v>3237.0680000000002</v>
      </c>
      <c r="O42" s="823">
        <f t="shared" si="51"/>
        <v>3237.0680000000002</v>
      </c>
      <c r="P42" s="823">
        <f t="shared" si="51"/>
        <v>3237.0680000000002</v>
      </c>
      <c r="Q42" s="823">
        <f t="shared" si="51"/>
        <v>3237.0680000000002</v>
      </c>
      <c r="R42" s="823">
        <f t="shared" si="51"/>
        <v>3237.0680000000002</v>
      </c>
      <c r="S42" s="823">
        <f t="shared" si="51"/>
        <v>3237.0680000000002</v>
      </c>
      <c r="T42" s="823">
        <f t="shared" si="51"/>
        <v>3237.0680000000002</v>
      </c>
      <c r="U42" s="823">
        <f t="shared" si="51"/>
        <v>3237.0680000000002</v>
      </c>
      <c r="V42" s="823">
        <f t="shared" si="51"/>
        <v>3237.0680000000002</v>
      </c>
      <c r="W42" s="823">
        <f t="shared" si="51"/>
        <v>3237.0680000000002</v>
      </c>
      <c r="X42" s="823">
        <f t="shared" si="51"/>
        <v>3237.0680000000002</v>
      </c>
      <c r="Y42" s="823">
        <f t="shared" si="51"/>
        <v>3237.0680000000002</v>
      </c>
      <c r="AB42" s="437" t="s">
        <v>454</v>
      </c>
      <c r="AC42" s="475">
        <f t="shared" si="7"/>
        <v>3237.0680000000002</v>
      </c>
      <c r="AD42" s="438">
        <f t="shared" si="8"/>
        <v>0</v>
      </c>
      <c r="AE42" s="438">
        <f t="shared" si="3"/>
        <v>3237.0680000000002</v>
      </c>
      <c r="AF42" s="438">
        <f t="shared" si="9"/>
        <v>0</v>
      </c>
      <c r="AG42" s="438">
        <f t="shared" si="4"/>
        <v>3237.0680000000002</v>
      </c>
    </row>
    <row r="43" spans="1:36">
      <c r="A43" s="437" t="s">
        <v>455</v>
      </c>
      <c r="B43" s="439">
        <f t="shared" si="49"/>
        <v>0</v>
      </c>
      <c r="C43" s="439">
        <f t="shared" si="50"/>
        <v>0</v>
      </c>
      <c r="D43" s="810">
        <v>33.827559999999998</v>
      </c>
      <c r="E43" s="439">
        <f t="shared" si="0"/>
        <v>0</v>
      </c>
      <c r="F43" s="649">
        <f t="shared" si="39"/>
        <v>-33.827559999999998</v>
      </c>
      <c r="G43" s="463">
        <v>0</v>
      </c>
      <c r="H43" s="459"/>
      <c r="I43" s="459"/>
      <c r="J43" s="459"/>
      <c r="K43" s="459"/>
      <c r="L43" s="460"/>
      <c r="M43" s="459"/>
      <c r="N43" s="459"/>
      <c r="O43" s="459"/>
      <c r="P43" s="459"/>
      <c r="Q43" s="459"/>
      <c r="R43" s="459"/>
      <c r="S43" s="459"/>
      <c r="T43" s="459"/>
      <c r="U43" s="459"/>
      <c r="V43" s="459"/>
      <c r="W43" s="459"/>
      <c r="X43" s="459"/>
      <c r="Y43" s="460"/>
      <c r="AB43" s="437" t="s">
        <v>455</v>
      </c>
      <c r="AC43" s="478">
        <f t="shared" si="7"/>
        <v>0</v>
      </c>
      <c r="AD43" s="439">
        <f t="shared" si="8"/>
        <v>0</v>
      </c>
      <c r="AE43" s="439">
        <f t="shared" si="3"/>
        <v>0</v>
      </c>
      <c r="AF43" s="439">
        <f t="shared" si="9"/>
        <v>0</v>
      </c>
      <c r="AG43" s="439">
        <f t="shared" si="4"/>
        <v>0</v>
      </c>
    </row>
    <row r="44" spans="1:36" ht="15.75" thickBot="1">
      <c r="A44" s="440" t="s">
        <v>456</v>
      </c>
      <c r="B44" s="447" t="e">
        <f t="shared" si="49"/>
        <v>#REF!</v>
      </c>
      <c r="C44" s="447">
        <f t="shared" si="50"/>
        <v>15420.759351179142</v>
      </c>
      <c r="D44" s="821">
        <v>14403.489539999999</v>
      </c>
      <c r="E44" s="447" t="e">
        <f t="shared" si="0"/>
        <v>#REF!</v>
      </c>
      <c r="F44" s="649">
        <f t="shared" si="39"/>
        <v>1017.2698111791433</v>
      </c>
      <c r="G44" s="815">
        <v>11352.937629999999</v>
      </c>
      <c r="H44" s="459"/>
      <c r="I44" s="459"/>
      <c r="J44" s="459"/>
      <c r="K44" s="459"/>
      <c r="L44" s="459"/>
      <c r="M44" s="824">
        <f>Tesorería!H61/1000</f>
        <v>15420.759351179142</v>
      </c>
      <c r="N44" s="459"/>
      <c r="O44" s="459"/>
      <c r="P44" s="459"/>
      <c r="Q44" s="459"/>
      <c r="R44" s="459"/>
      <c r="S44" s="459"/>
      <c r="T44" s="459"/>
      <c r="U44" s="459"/>
      <c r="V44" s="459"/>
      <c r="W44" s="459"/>
      <c r="X44" s="459"/>
      <c r="Y44" s="824" t="e">
        <f>Tesorería!T61/1000</f>
        <v>#REF!</v>
      </c>
      <c r="AB44" s="440" t="s">
        <v>456</v>
      </c>
      <c r="AC44" s="550">
        <f t="shared" si="7"/>
        <v>11352.937629999999</v>
      </c>
      <c r="AD44" s="447">
        <f t="shared" si="8"/>
        <v>4067.8217211791434</v>
      </c>
      <c r="AE44" s="447">
        <f t="shared" si="3"/>
        <v>15420.759351179142</v>
      </c>
      <c r="AF44" s="447" t="e">
        <f t="shared" si="9"/>
        <v>#REF!</v>
      </c>
      <c r="AG44" s="447" t="e">
        <f t="shared" si="4"/>
        <v>#REF!</v>
      </c>
      <c r="AH44" s="480">
        <f t="shared" ref="AH44:AH45" si="52">M44-G44</f>
        <v>4067.8217211791434</v>
      </c>
    </row>
    <row r="45" spans="1:36" ht="15.75" thickBot="1">
      <c r="A45" s="448" t="s">
        <v>457</v>
      </c>
      <c r="B45" s="449" t="e">
        <f>B10+B27</f>
        <v>#REF!</v>
      </c>
      <c r="C45" s="449" t="e">
        <f>C10+C27</f>
        <v>#REF!</v>
      </c>
      <c r="D45" s="793">
        <f>D10+D27</f>
        <v>88282.797760000001</v>
      </c>
      <c r="E45" s="449" t="e">
        <f t="shared" si="0"/>
        <v>#REF!</v>
      </c>
      <c r="F45" s="649" t="e">
        <f t="shared" si="39"/>
        <v>#REF!</v>
      </c>
      <c r="G45" s="477">
        <f t="shared" ref="G45:Y45" si="53">G10+G27</f>
        <v>86663.168780000007</v>
      </c>
      <c r="H45" s="477" t="e">
        <f t="shared" ref="H45:J45" si="54">H10+H27</f>
        <v>#REF!</v>
      </c>
      <c r="I45" s="477" t="e">
        <f t="shared" si="54"/>
        <v>#REF!</v>
      </c>
      <c r="J45" s="477" t="e">
        <f t="shared" si="54"/>
        <v>#REF!</v>
      </c>
      <c r="K45" s="477" t="e">
        <f t="shared" si="53"/>
        <v>#REF!</v>
      </c>
      <c r="L45" s="477" t="e">
        <f t="shared" si="53"/>
        <v>#REF!</v>
      </c>
      <c r="M45" s="477" t="e">
        <f t="shared" si="53"/>
        <v>#REF!</v>
      </c>
      <c r="N45" s="477" t="e">
        <f t="shared" si="53"/>
        <v>#REF!</v>
      </c>
      <c r="O45" s="477" t="e">
        <f t="shared" si="53"/>
        <v>#REF!</v>
      </c>
      <c r="P45" s="477" t="e">
        <f t="shared" si="53"/>
        <v>#REF!</v>
      </c>
      <c r="Q45" s="477" t="e">
        <f t="shared" si="53"/>
        <v>#REF!</v>
      </c>
      <c r="R45" s="477" t="e">
        <f t="shared" si="53"/>
        <v>#REF!</v>
      </c>
      <c r="S45" s="477" t="e">
        <f t="shared" si="53"/>
        <v>#REF!</v>
      </c>
      <c r="T45" s="477" t="e">
        <f t="shared" si="53"/>
        <v>#REF!</v>
      </c>
      <c r="U45" s="477" t="e">
        <f t="shared" si="53"/>
        <v>#REF!</v>
      </c>
      <c r="V45" s="477" t="e">
        <f t="shared" si="53"/>
        <v>#REF!</v>
      </c>
      <c r="W45" s="477" t="e">
        <f t="shared" si="53"/>
        <v>#REF!</v>
      </c>
      <c r="X45" s="477" t="e">
        <f t="shared" si="53"/>
        <v>#REF!</v>
      </c>
      <c r="Y45" s="477" t="e">
        <f t="shared" si="53"/>
        <v>#REF!</v>
      </c>
      <c r="AB45" s="448" t="s">
        <v>457</v>
      </c>
      <c r="AC45" s="477">
        <f t="shared" si="7"/>
        <v>86663.168780000007</v>
      </c>
      <c r="AD45" s="449" t="e">
        <f t="shared" si="8"/>
        <v>#REF!</v>
      </c>
      <c r="AE45" s="449" t="e">
        <f t="shared" si="3"/>
        <v>#REF!</v>
      </c>
      <c r="AF45" s="449" t="e">
        <f t="shared" si="9"/>
        <v>#REF!</v>
      </c>
      <c r="AG45" s="449" t="e">
        <f t="shared" si="4"/>
        <v>#REF!</v>
      </c>
      <c r="AH45" s="480" t="e">
        <f t="shared" si="52"/>
        <v>#REF!</v>
      </c>
    </row>
    <row r="46" spans="1:36" ht="15.75" thickBot="1">
      <c r="E46" s="456"/>
      <c r="H46" s="653"/>
      <c r="I46" s="653"/>
      <c r="J46" s="653"/>
      <c r="K46" s="653"/>
      <c r="L46" s="653"/>
      <c r="M46" s="654"/>
      <c r="N46" s="653"/>
      <c r="O46" s="653"/>
      <c r="P46" s="653"/>
      <c r="Q46" s="653"/>
      <c r="R46" s="653"/>
      <c r="S46" s="653"/>
      <c r="T46" s="653"/>
      <c r="U46" s="653"/>
      <c r="V46" s="653"/>
      <c r="W46" s="653"/>
      <c r="X46" s="653"/>
      <c r="Y46" s="655"/>
      <c r="AB46" s="216"/>
    </row>
    <row r="47" spans="1:36" s="216" customFormat="1" ht="19.5" thickBot="1">
      <c r="A47" s="835" t="s">
        <v>905</v>
      </c>
      <c r="B47" s="836"/>
      <c r="C47" s="837"/>
      <c r="D47" s="737">
        <f>D45-D101</f>
        <v>0</v>
      </c>
      <c r="E47" s="456"/>
      <c r="F47" s="456"/>
      <c r="G47" s="822">
        <f>G45-G101</f>
        <v>9.1209999998682179E-2</v>
      </c>
      <c r="H47" s="653"/>
      <c r="I47" s="653"/>
      <c r="J47" s="653"/>
      <c r="K47" s="653"/>
      <c r="L47" s="456"/>
      <c r="M47" s="727" t="e">
        <f>M45-M101</f>
        <v>#REF!</v>
      </c>
      <c r="N47" s="728"/>
      <c r="O47" s="728"/>
      <c r="P47" s="728"/>
      <c r="Q47" s="728"/>
      <c r="R47" s="728"/>
      <c r="S47" s="728"/>
      <c r="T47" s="728"/>
      <c r="U47" s="728"/>
      <c r="V47" s="728"/>
      <c r="W47" s="728"/>
      <c r="X47" s="728"/>
      <c r="Y47" s="727" t="e">
        <f>Y45-Y101</f>
        <v>#REF!</v>
      </c>
      <c r="Z47" s="456"/>
      <c r="AA47" s="456"/>
      <c r="AH47" s="456"/>
      <c r="AI47" s="456"/>
      <c r="AJ47" s="456"/>
    </row>
    <row r="48" spans="1:36" s="216" customFormat="1" ht="15.75">
      <c r="A48" s="838" t="s">
        <v>1</v>
      </c>
      <c r="B48" s="839"/>
      <c r="C48" s="2" t="s">
        <v>2</v>
      </c>
      <c r="D48" s="733"/>
      <c r="E48" s="456"/>
      <c r="F48" s="456"/>
      <c r="G48" s="456"/>
      <c r="H48" s="456"/>
      <c r="I48" s="456"/>
      <c r="J48" s="456"/>
      <c r="K48" s="456"/>
      <c r="L48" s="456"/>
      <c r="M48" s="458"/>
      <c r="N48" s="456"/>
      <c r="O48" s="456"/>
      <c r="P48" s="456"/>
      <c r="Q48" s="456"/>
      <c r="R48" s="456"/>
      <c r="S48" s="456"/>
      <c r="T48" s="456"/>
      <c r="U48" s="456"/>
      <c r="V48" s="456"/>
      <c r="W48" s="456"/>
      <c r="X48" s="456"/>
      <c r="Y48" s="458"/>
      <c r="Z48" s="456"/>
      <c r="AA48" s="456"/>
      <c r="AB48" s="456"/>
      <c r="AH48" s="456"/>
      <c r="AI48" s="456"/>
      <c r="AJ48" s="456"/>
    </row>
    <row r="49" spans="1:36" s="216" customFormat="1" ht="21.75" thickBot="1">
      <c r="A49" s="840" t="s">
        <v>3</v>
      </c>
      <c r="B49" s="841"/>
      <c r="C49" s="573">
        <f>C3</f>
        <v>2023</v>
      </c>
      <c r="D49" s="733"/>
      <c r="E49" s="456"/>
      <c r="F49" s="456"/>
      <c r="G49" s="456"/>
      <c r="H49" s="456"/>
      <c r="I49" s="456"/>
      <c r="J49" s="456"/>
      <c r="K49" s="456"/>
      <c r="L49" s="456"/>
      <c r="M49" s="458"/>
      <c r="N49" s="456"/>
      <c r="O49" s="456"/>
      <c r="P49" s="456"/>
      <c r="Q49" s="456"/>
      <c r="R49" s="456"/>
      <c r="S49" s="456"/>
      <c r="T49" s="456"/>
      <c r="U49" s="456"/>
      <c r="V49" s="456"/>
      <c r="W49" s="456"/>
      <c r="X49" s="456"/>
      <c r="Y49" s="458"/>
      <c r="Z49" s="456"/>
      <c r="AA49" s="456"/>
      <c r="AB49" s="456"/>
      <c r="AH49" s="456"/>
      <c r="AI49" s="456"/>
      <c r="AJ49" s="456"/>
    </row>
    <row r="50" spans="1:36" s="216" customFormat="1" ht="21.75" customHeight="1">
      <c r="A50" s="842">
        <f>C3</f>
        <v>2023</v>
      </c>
      <c r="B50" s="846"/>
      <c r="C50" s="847"/>
      <c r="D50" s="733"/>
      <c r="E50" s="456"/>
      <c r="F50" s="456"/>
      <c r="G50" s="456"/>
      <c r="H50" s="456"/>
      <c r="I50" s="456"/>
      <c r="J50" s="456"/>
      <c r="K50" s="456"/>
      <c r="L50" s="456"/>
      <c r="M50" s="458"/>
      <c r="N50" s="456"/>
      <c r="O50" s="456"/>
      <c r="P50" s="456"/>
      <c r="Q50" s="456"/>
      <c r="R50" s="456"/>
      <c r="S50" s="456"/>
      <c r="T50" s="456"/>
      <c r="U50" s="456"/>
      <c r="V50" s="456"/>
      <c r="W50" s="456"/>
      <c r="X50" s="456"/>
      <c r="Y50" s="458"/>
      <c r="Z50" s="456"/>
      <c r="AA50" s="456"/>
      <c r="AB50" s="456"/>
      <c r="AH50" s="456"/>
      <c r="AI50" s="456"/>
      <c r="AJ50" s="456"/>
    </row>
    <row r="51" spans="1:36" s="216" customFormat="1">
      <c r="A51" s="651" t="s">
        <v>5</v>
      </c>
      <c r="B51" s="848" t="s">
        <v>903</v>
      </c>
      <c r="C51" s="849"/>
      <c r="D51" s="733"/>
      <c r="E51" s="456"/>
      <c r="F51" s="456"/>
      <c r="G51" s="456"/>
      <c r="H51" s="456"/>
      <c r="I51" s="456"/>
      <c r="J51" s="456"/>
      <c r="K51" s="456"/>
      <c r="L51" s="456"/>
      <c r="M51" s="458"/>
      <c r="N51" s="456"/>
      <c r="O51" s="456"/>
      <c r="P51" s="456"/>
      <c r="Q51" s="456"/>
      <c r="R51" s="456"/>
      <c r="S51" s="456"/>
      <c r="T51" s="456"/>
      <c r="U51" s="456"/>
      <c r="V51" s="456"/>
      <c r="W51" s="456"/>
      <c r="X51" s="456"/>
      <c r="Y51" s="458"/>
      <c r="Z51" s="456"/>
      <c r="AA51" s="456"/>
      <c r="AB51" s="456"/>
      <c r="AH51" s="456"/>
      <c r="AI51" s="456"/>
      <c r="AJ51" s="456"/>
    </row>
    <row r="52" spans="1:36" s="216" customFormat="1">
      <c r="A52" s="651" t="s">
        <v>904</v>
      </c>
      <c r="B52" s="850">
        <v>43800</v>
      </c>
      <c r="C52" s="849"/>
      <c r="D52" s="733"/>
      <c r="E52" s="456"/>
      <c r="F52" s="456"/>
      <c r="G52" s="456"/>
      <c r="H52" s="456"/>
      <c r="I52" s="456"/>
      <c r="J52" s="456"/>
      <c r="K52" s="456"/>
      <c r="L52" s="456"/>
      <c r="M52" s="458"/>
      <c r="N52" s="456"/>
      <c r="O52" s="456"/>
      <c r="P52" s="456"/>
      <c r="Q52" s="456"/>
      <c r="R52" s="456"/>
      <c r="S52" s="456"/>
      <c r="T52" s="456"/>
      <c r="U52" s="456"/>
      <c r="V52" s="456"/>
      <c r="W52" s="456"/>
      <c r="X52" s="456"/>
      <c r="Y52" s="458"/>
      <c r="Z52" s="456"/>
      <c r="AA52" s="456"/>
      <c r="AB52" s="456"/>
      <c r="AH52" s="456"/>
      <c r="AI52" s="456"/>
      <c r="AJ52" s="456"/>
    </row>
    <row r="53" spans="1:36" s="216" customFormat="1" ht="24" thickBot="1">
      <c r="A53" s="843" t="s">
        <v>902</v>
      </c>
      <c r="B53" s="844"/>
      <c r="C53" s="845"/>
      <c r="D53" s="733"/>
      <c r="E53" s="456"/>
      <c r="F53" s="456"/>
      <c r="G53" s="456">
        <v>1</v>
      </c>
      <c r="H53" s="456"/>
      <c r="I53" s="456"/>
      <c r="J53" s="456"/>
      <c r="K53" s="456"/>
      <c r="L53" s="456"/>
      <c r="M53" s="458"/>
      <c r="N53" s="456"/>
      <c r="O53" s="456"/>
      <c r="P53" s="456"/>
      <c r="Q53" s="456"/>
      <c r="R53" s="456"/>
      <c r="S53" s="456"/>
      <c r="T53" s="456"/>
      <c r="U53" s="456"/>
      <c r="V53" s="456"/>
      <c r="W53" s="456"/>
      <c r="X53" s="456"/>
      <c r="Y53" s="458"/>
      <c r="Z53" s="456"/>
      <c r="AA53" s="456"/>
      <c r="AB53" s="456"/>
      <c r="AH53" s="456"/>
      <c r="AI53" s="456"/>
      <c r="AJ53" s="456"/>
    </row>
    <row r="54" spans="1:36" s="456" customFormat="1" ht="19.5" thickBot="1">
      <c r="A54" s="851" t="s">
        <v>7</v>
      </c>
      <c r="B54" s="852"/>
      <c r="C54" s="853"/>
      <c r="D54" s="734"/>
      <c r="M54" s="458"/>
      <c r="Y54" s="458"/>
      <c r="AC54" s="555" t="s">
        <v>661</v>
      </c>
      <c r="AD54" s="556"/>
      <c r="AE54" s="556"/>
      <c r="AF54" s="556"/>
      <c r="AG54" s="557"/>
    </row>
    <row r="55" spans="1:36" ht="32.25" thickBot="1">
      <c r="A55" s="427" t="s">
        <v>458</v>
      </c>
      <c r="B55" s="428">
        <f>B9</f>
        <v>2023</v>
      </c>
      <c r="C55" s="428" t="str">
        <f t="shared" ref="C55:E55" si="55">C9</f>
        <v>2022 (estimado)</v>
      </c>
      <c r="D55" s="814">
        <f t="shared" si="55"/>
        <v>2021</v>
      </c>
      <c r="E55" s="428" t="str">
        <f t="shared" si="55"/>
        <v>∆ 2022- 2021</v>
      </c>
      <c r="G55" s="457" t="str">
        <f>G9</f>
        <v>2022 Jun</v>
      </c>
      <c r="H55" s="457" t="str">
        <f t="shared" ref="H55:Y55" si="56">H9</f>
        <v>2022 Juli</v>
      </c>
      <c r="I55" s="457" t="str">
        <f t="shared" si="56"/>
        <v>2022 Ago</v>
      </c>
      <c r="J55" s="457" t="str">
        <f t="shared" si="56"/>
        <v>2022 Sep</v>
      </c>
      <c r="K55" s="457" t="str">
        <f t="shared" si="56"/>
        <v>2022 Oct</v>
      </c>
      <c r="L55" s="457" t="str">
        <f t="shared" si="56"/>
        <v>2022 Nov</v>
      </c>
      <c r="M55" s="457" t="str">
        <f t="shared" si="56"/>
        <v>2022 Dic</v>
      </c>
      <c r="N55" s="457" t="str">
        <f t="shared" si="56"/>
        <v>2023 Ene</v>
      </c>
      <c r="O55" s="457" t="str">
        <f t="shared" si="56"/>
        <v>2023 Feb</v>
      </c>
      <c r="P55" s="457" t="str">
        <f t="shared" si="56"/>
        <v>2023 Mar</v>
      </c>
      <c r="Q55" s="457" t="str">
        <f t="shared" si="56"/>
        <v>2023 Apr</v>
      </c>
      <c r="R55" s="457" t="str">
        <f t="shared" si="56"/>
        <v>2023 May</v>
      </c>
      <c r="S55" s="457" t="str">
        <f t="shared" si="56"/>
        <v>2023 Jun</v>
      </c>
      <c r="T55" s="457" t="str">
        <f t="shared" si="56"/>
        <v>2023 Jul</v>
      </c>
      <c r="U55" s="457" t="str">
        <f t="shared" si="56"/>
        <v>2023 Ago</v>
      </c>
      <c r="V55" s="457" t="str">
        <f t="shared" si="56"/>
        <v>2023 Sep</v>
      </c>
      <c r="W55" s="457" t="str">
        <f t="shared" si="56"/>
        <v>2023 Oct</v>
      </c>
      <c r="X55" s="457" t="str">
        <f t="shared" si="56"/>
        <v>2023 Nov</v>
      </c>
      <c r="Y55" s="457" t="str">
        <f t="shared" si="56"/>
        <v>2023 Dec</v>
      </c>
      <c r="AB55" s="427" t="s">
        <v>458</v>
      </c>
      <c r="AC55" s="546">
        <v>43709</v>
      </c>
      <c r="AD55" s="429" t="s">
        <v>662</v>
      </c>
      <c r="AE55" s="545">
        <v>43800</v>
      </c>
      <c r="AF55" s="429">
        <v>2020</v>
      </c>
      <c r="AG55" s="545">
        <v>44166</v>
      </c>
    </row>
    <row r="56" spans="1:36" ht="15.75" thickBot="1">
      <c r="A56" s="430" t="s">
        <v>459</v>
      </c>
      <c r="B56" s="450" t="e">
        <f>B57+B67+B68</f>
        <v>#REF!</v>
      </c>
      <c r="C56" s="450" t="e">
        <f>C57+C67+C68</f>
        <v>#REF!</v>
      </c>
      <c r="D56" s="801">
        <f>D57+D67+D68</f>
        <v>44669.852460000009</v>
      </c>
      <c r="E56" s="450" t="e">
        <f>B56-C56</f>
        <v>#REF!</v>
      </c>
      <c r="F56" s="567"/>
      <c r="G56" s="450">
        <f t="shared" ref="G56:J56" si="57">G57+G67+G68</f>
        <v>47757.859079999995</v>
      </c>
      <c r="H56" s="450">
        <f t="shared" si="57"/>
        <v>15608.538400000001</v>
      </c>
      <c r="I56" s="450">
        <f t="shared" si="57"/>
        <v>15608.538400000001</v>
      </c>
      <c r="J56" s="450">
        <f t="shared" si="57"/>
        <v>15608.538400000001</v>
      </c>
      <c r="K56" s="450">
        <f t="shared" ref="K56:Y56" si="58">K57+K67+K68</f>
        <v>15608.538400000001</v>
      </c>
      <c r="L56" s="450">
        <f t="shared" si="58"/>
        <v>15608.538400000001</v>
      </c>
      <c r="M56" s="450" t="e">
        <f t="shared" si="58"/>
        <v>#REF!</v>
      </c>
      <c r="N56" s="450">
        <f t="shared" si="58"/>
        <v>15608.538400000001</v>
      </c>
      <c r="O56" s="450">
        <f t="shared" si="58"/>
        <v>15608.538400000001</v>
      </c>
      <c r="P56" s="450">
        <f t="shared" si="58"/>
        <v>26215.185354730558</v>
      </c>
      <c r="Q56" s="450">
        <f t="shared" si="58"/>
        <v>15608.538400000001</v>
      </c>
      <c r="R56" s="450">
        <f t="shared" si="58"/>
        <v>15608.538400000001</v>
      </c>
      <c r="S56" s="450">
        <f t="shared" si="58"/>
        <v>15608.538400000001</v>
      </c>
      <c r="T56" s="450">
        <f t="shared" si="58"/>
        <v>15608.538400000001</v>
      </c>
      <c r="U56" s="450">
        <f t="shared" si="58"/>
        <v>15608.538400000001</v>
      </c>
      <c r="V56" s="450">
        <f t="shared" si="58"/>
        <v>15608.538400000001</v>
      </c>
      <c r="W56" s="450">
        <f t="shared" si="58"/>
        <v>15608.538400000001</v>
      </c>
      <c r="X56" s="450">
        <f t="shared" si="58"/>
        <v>15608.538400000001</v>
      </c>
      <c r="Y56" s="450" t="e">
        <f t="shared" si="58"/>
        <v>#REF!</v>
      </c>
      <c r="AB56" s="430" t="s">
        <v>459</v>
      </c>
      <c r="AC56" s="450">
        <f t="shared" ref="AC56:AC101" si="59">G56</f>
        <v>47757.859079999995</v>
      </c>
      <c r="AD56" s="450" t="e">
        <f t="shared" ref="AD56:AD101" si="60">AE56-AC56</f>
        <v>#REF!</v>
      </c>
      <c r="AE56" s="450" t="e">
        <f t="shared" ref="AE56:AE101" si="61">C56</f>
        <v>#REF!</v>
      </c>
      <c r="AF56" s="450" t="e">
        <f t="shared" ref="AF56:AF101" si="62">AG56-AE56</f>
        <v>#REF!</v>
      </c>
      <c r="AG56" s="450" t="e">
        <f t="shared" ref="AG56:AG101" si="63">B56</f>
        <v>#REF!</v>
      </c>
      <c r="AH56" s="480" t="e">
        <f t="shared" ref="AH56:AH58" si="64">M56-G56</f>
        <v>#REF!</v>
      </c>
    </row>
    <row r="57" spans="1:36">
      <c r="A57" s="432" t="s">
        <v>460</v>
      </c>
      <c r="B57" s="433">
        <f>SUM(B58:B66)</f>
        <v>27216.689086143786</v>
      </c>
      <c r="C57" s="433">
        <f>SUM(C58:C66)</f>
        <v>26215.185354730558</v>
      </c>
      <c r="D57" s="791">
        <f>SUM(D58:D66)</f>
        <v>22530.088990000011</v>
      </c>
      <c r="E57" s="433">
        <f t="shared" ref="E57:E101" si="65">B57-C57</f>
        <v>1001.5037314132278</v>
      </c>
      <c r="F57" s="567"/>
      <c r="G57" s="474">
        <f t="shared" ref="G57:J57" si="66">SUM(G58:G66)</f>
        <v>26762.363049999993</v>
      </c>
      <c r="H57" s="474">
        <f t="shared" si="66"/>
        <v>15608.538400000001</v>
      </c>
      <c r="I57" s="474">
        <f t="shared" si="66"/>
        <v>15608.538400000001</v>
      </c>
      <c r="J57" s="474">
        <f t="shared" si="66"/>
        <v>15608.538400000001</v>
      </c>
      <c r="K57" s="474">
        <f t="shared" ref="K57:Y57" si="67">SUM(K58:K66)</f>
        <v>15608.538400000001</v>
      </c>
      <c r="L57" s="474">
        <f t="shared" si="67"/>
        <v>15608.538400000001</v>
      </c>
      <c r="M57" s="474">
        <f t="shared" si="67"/>
        <v>26215.185354730558</v>
      </c>
      <c r="N57" s="474">
        <f t="shared" si="67"/>
        <v>15608.538400000001</v>
      </c>
      <c r="O57" s="474">
        <f t="shared" si="67"/>
        <v>15608.538400000001</v>
      </c>
      <c r="P57" s="474">
        <f t="shared" si="67"/>
        <v>26215.185354730558</v>
      </c>
      <c r="Q57" s="474">
        <f t="shared" si="67"/>
        <v>15608.538400000001</v>
      </c>
      <c r="R57" s="474">
        <f t="shared" si="67"/>
        <v>15608.538400000001</v>
      </c>
      <c r="S57" s="474">
        <f t="shared" si="67"/>
        <v>15608.538400000001</v>
      </c>
      <c r="T57" s="474">
        <f t="shared" si="67"/>
        <v>15608.538400000001</v>
      </c>
      <c r="U57" s="474">
        <f t="shared" si="67"/>
        <v>15608.538400000001</v>
      </c>
      <c r="V57" s="474">
        <f t="shared" si="67"/>
        <v>15608.538400000001</v>
      </c>
      <c r="W57" s="474">
        <f t="shared" si="67"/>
        <v>15608.538400000001</v>
      </c>
      <c r="X57" s="474">
        <f t="shared" si="67"/>
        <v>15608.538400000001</v>
      </c>
      <c r="Y57" s="474">
        <f t="shared" si="67"/>
        <v>27216.689086143786</v>
      </c>
      <c r="AB57" s="432" t="s">
        <v>460</v>
      </c>
      <c r="AC57" s="474">
        <f t="shared" si="59"/>
        <v>26762.363049999993</v>
      </c>
      <c r="AD57" s="433">
        <f t="shared" si="60"/>
        <v>-547.17769526943448</v>
      </c>
      <c r="AE57" s="433">
        <f t="shared" si="61"/>
        <v>26215.185354730558</v>
      </c>
      <c r="AF57" s="433">
        <f t="shared" si="62"/>
        <v>1001.5037314132278</v>
      </c>
      <c r="AG57" s="433">
        <f t="shared" si="63"/>
        <v>27216.689086143786</v>
      </c>
      <c r="AH57" s="480">
        <f t="shared" si="64"/>
        <v>-547.17769526943448</v>
      </c>
    </row>
    <row r="58" spans="1:36">
      <c r="A58" s="437" t="s">
        <v>461</v>
      </c>
      <c r="B58" s="451">
        <f t="shared" ref="B58:B68" si="68">Y58</f>
        <v>15608.538400000001</v>
      </c>
      <c r="C58" s="451">
        <f t="shared" ref="C58:C68" si="69">M58</f>
        <v>15608.538400000001</v>
      </c>
      <c r="D58" s="810">
        <v>15608.538400000001</v>
      </c>
      <c r="E58" s="451">
        <f t="shared" si="65"/>
        <v>0</v>
      </c>
      <c r="F58" s="567"/>
      <c r="G58" s="817">
        <v>15608.538400000001</v>
      </c>
      <c r="H58" s="823">
        <f>G58</f>
        <v>15608.538400000001</v>
      </c>
      <c r="I58" s="823">
        <f t="shared" ref="I58:Y58" si="70">H58</f>
        <v>15608.538400000001</v>
      </c>
      <c r="J58" s="823">
        <f t="shared" si="70"/>
        <v>15608.538400000001</v>
      </c>
      <c r="K58" s="823">
        <f t="shared" si="70"/>
        <v>15608.538400000001</v>
      </c>
      <c r="L58" s="823">
        <f t="shared" si="70"/>
        <v>15608.538400000001</v>
      </c>
      <c r="M58" s="823">
        <f t="shared" si="70"/>
        <v>15608.538400000001</v>
      </c>
      <c r="N58" s="823">
        <f t="shared" si="70"/>
        <v>15608.538400000001</v>
      </c>
      <c r="O58" s="823">
        <f t="shared" si="70"/>
        <v>15608.538400000001</v>
      </c>
      <c r="P58" s="823">
        <f t="shared" si="70"/>
        <v>15608.538400000001</v>
      </c>
      <c r="Q58" s="823">
        <f t="shared" si="70"/>
        <v>15608.538400000001</v>
      </c>
      <c r="R58" s="823">
        <f t="shared" si="70"/>
        <v>15608.538400000001</v>
      </c>
      <c r="S58" s="823">
        <f t="shared" si="70"/>
        <v>15608.538400000001</v>
      </c>
      <c r="T58" s="823">
        <f t="shared" si="70"/>
        <v>15608.538400000001</v>
      </c>
      <c r="U58" s="823">
        <f t="shared" si="70"/>
        <v>15608.538400000001</v>
      </c>
      <c r="V58" s="823">
        <f t="shared" si="70"/>
        <v>15608.538400000001</v>
      </c>
      <c r="W58" s="823">
        <f t="shared" si="70"/>
        <v>15608.538400000001</v>
      </c>
      <c r="X58" s="823">
        <f t="shared" si="70"/>
        <v>15608.538400000001</v>
      </c>
      <c r="Y58" s="823">
        <f t="shared" si="70"/>
        <v>15608.538400000001</v>
      </c>
      <c r="Z58" s="488" t="s">
        <v>577</v>
      </c>
      <c r="AB58" s="437" t="s">
        <v>461</v>
      </c>
      <c r="AC58" s="551">
        <f t="shared" si="59"/>
        <v>15608.538400000001</v>
      </c>
      <c r="AD58" s="451">
        <f t="shared" si="60"/>
        <v>0</v>
      </c>
      <c r="AE58" s="451">
        <f t="shared" si="61"/>
        <v>15608.538400000001</v>
      </c>
      <c r="AF58" s="451">
        <f t="shared" si="62"/>
        <v>0</v>
      </c>
      <c r="AG58" s="451">
        <f t="shared" si="63"/>
        <v>15608.538400000001</v>
      </c>
      <c r="AH58" s="480">
        <f t="shared" si="64"/>
        <v>0</v>
      </c>
    </row>
    <row r="59" spans="1:36">
      <c r="A59" s="437" t="s">
        <v>462</v>
      </c>
      <c r="B59" s="451">
        <f t="shared" si="68"/>
        <v>0</v>
      </c>
      <c r="C59" s="451">
        <f t="shared" si="69"/>
        <v>0</v>
      </c>
      <c r="D59" s="800">
        <v>0</v>
      </c>
      <c r="E59" s="451">
        <f t="shared" si="65"/>
        <v>0</v>
      </c>
      <c r="G59" s="464"/>
      <c r="H59" s="460"/>
      <c r="I59" s="460"/>
      <c r="J59" s="460"/>
      <c r="K59" s="460"/>
      <c r="L59" s="460"/>
      <c r="M59" s="460"/>
      <c r="N59" s="460"/>
      <c r="O59" s="460"/>
      <c r="P59" s="460"/>
      <c r="Q59" s="460"/>
      <c r="R59" s="460"/>
      <c r="S59" s="460"/>
      <c r="T59" s="460"/>
      <c r="U59" s="460"/>
      <c r="V59" s="460"/>
      <c r="W59" s="460"/>
      <c r="X59" s="460"/>
      <c r="Y59" s="460"/>
      <c r="AB59" s="437" t="s">
        <v>462</v>
      </c>
      <c r="AC59" s="551">
        <f t="shared" si="59"/>
        <v>0</v>
      </c>
      <c r="AD59" s="451">
        <f t="shared" si="60"/>
        <v>0</v>
      </c>
      <c r="AE59" s="451">
        <f t="shared" si="61"/>
        <v>0</v>
      </c>
      <c r="AF59" s="451">
        <f t="shared" si="62"/>
        <v>0</v>
      </c>
      <c r="AG59" s="451">
        <f t="shared" si="63"/>
        <v>0</v>
      </c>
    </row>
    <row r="60" spans="1:36">
      <c r="A60" s="437" t="s">
        <v>463</v>
      </c>
      <c r="B60" s="451">
        <f t="shared" si="68"/>
        <v>10606.646954730557</v>
      </c>
      <c r="C60" s="451">
        <f t="shared" si="69"/>
        <v>6921.5505899999998</v>
      </c>
      <c r="D60" s="810">
        <v>5930.6783100000002</v>
      </c>
      <c r="E60" s="451">
        <f t="shared" si="65"/>
        <v>3685.0963647305571</v>
      </c>
      <c r="G60" s="817">
        <v>5930.6783100000002</v>
      </c>
      <c r="H60" s="460"/>
      <c r="I60" s="460"/>
      <c r="J60" s="460"/>
      <c r="K60" s="460"/>
      <c r="L60" s="460"/>
      <c r="M60" s="460">
        <f>G60+G62</f>
        <v>6921.5505899999998</v>
      </c>
      <c r="N60" s="460"/>
      <c r="O60" s="460"/>
      <c r="P60" s="460">
        <f>M60+M64</f>
        <v>10606.646954730557</v>
      </c>
      <c r="Q60" s="460"/>
      <c r="R60" s="460"/>
      <c r="S60" s="460"/>
      <c r="T60" s="460"/>
      <c r="U60" s="460"/>
      <c r="V60" s="460"/>
      <c r="W60" s="460"/>
      <c r="X60" s="460"/>
      <c r="Y60" s="460">
        <f>P60</f>
        <v>10606.646954730557</v>
      </c>
      <c r="AB60" s="437" t="s">
        <v>463</v>
      </c>
      <c r="AC60" s="551">
        <f t="shared" si="59"/>
        <v>5930.6783100000002</v>
      </c>
      <c r="AD60" s="451">
        <f t="shared" si="60"/>
        <v>990.87227999999959</v>
      </c>
      <c r="AE60" s="451">
        <f t="shared" si="61"/>
        <v>6921.5505899999998</v>
      </c>
      <c r="AF60" s="451">
        <f t="shared" si="62"/>
        <v>3685.0963647305571</v>
      </c>
      <c r="AG60" s="451">
        <f t="shared" si="63"/>
        <v>10606.646954730557</v>
      </c>
    </row>
    <row r="61" spans="1:36" ht="14.25" customHeight="1">
      <c r="A61" s="437" t="s">
        <v>464</v>
      </c>
      <c r="B61" s="451">
        <f t="shared" si="68"/>
        <v>0</v>
      </c>
      <c r="C61" s="451">
        <f t="shared" si="69"/>
        <v>0</v>
      </c>
      <c r="D61" s="800">
        <v>0</v>
      </c>
      <c r="E61" s="451">
        <f t="shared" si="65"/>
        <v>0</v>
      </c>
      <c r="G61" s="464"/>
      <c r="H61" s="460"/>
      <c r="I61" s="460"/>
      <c r="J61" s="460"/>
      <c r="K61" s="460"/>
      <c r="L61" s="460"/>
      <c r="M61" s="460"/>
      <c r="N61" s="460"/>
      <c r="O61" s="460"/>
      <c r="P61" s="460"/>
      <c r="Q61" s="460"/>
      <c r="R61" s="460"/>
      <c r="S61" s="460"/>
      <c r="T61" s="460"/>
      <c r="U61" s="460"/>
      <c r="V61" s="460"/>
      <c r="W61" s="460"/>
      <c r="X61" s="460"/>
      <c r="Y61" s="460"/>
      <c r="AB61" s="437" t="s">
        <v>464</v>
      </c>
      <c r="AC61" s="551">
        <f t="shared" si="59"/>
        <v>0</v>
      </c>
      <c r="AD61" s="451">
        <f t="shared" si="60"/>
        <v>0</v>
      </c>
      <c r="AE61" s="451">
        <f t="shared" si="61"/>
        <v>0</v>
      </c>
      <c r="AF61" s="451">
        <f t="shared" si="62"/>
        <v>0</v>
      </c>
      <c r="AG61" s="451">
        <f t="shared" si="63"/>
        <v>0</v>
      </c>
    </row>
    <row r="62" spans="1:36">
      <c r="A62" s="437" t="s">
        <v>465</v>
      </c>
      <c r="B62" s="451">
        <f t="shared" si="68"/>
        <v>0</v>
      </c>
      <c r="C62" s="451">
        <f t="shared" si="69"/>
        <v>0</v>
      </c>
      <c r="D62" s="810">
        <v>-1306.5085800000002</v>
      </c>
      <c r="E62" s="451">
        <f t="shared" si="65"/>
        <v>0</v>
      </c>
      <c r="F62" s="567"/>
      <c r="G62" s="817">
        <v>990.87227999999982</v>
      </c>
      <c r="H62" s="460"/>
      <c r="I62" s="460"/>
      <c r="J62" s="460"/>
      <c r="K62" s="460"/>
      <c r="L62" s="460"/>
      <c r="M62" s="720"/>
      <c r="N62" s="460"/>
      <c r="O62" s="460"/>
      <c r="P62" s="720"/>
      <c r="Q62" s="460"/>
      <c r="R62" s="460"/>
      <c r="S62" s="460"/>
      <c r="T62" s="460"/>
      <c r="U62" s="460"/>
      <c r="V62" s="460"/>
      <c r="W62" s="460"/>
      <c r="X62" s="460"/>
      <c r="Y62" s="460"/>
      <c r="Z62" s="489" t="s">
        <v>578</v>
      </c>
      <c r="AB62" s="437" t="s">
        <v>465</v>
      </c>
      <c r="AC62" s="551">
        <f t="shared" si="59"/>
        <v>990.87227999999982</v>
      </c>
      <c r="AD62" s="451">
        <f t="shared" si="60"/>
        <v>-990.87227999999982</v>
      </c>
      <c r="AE62" s="451">
        <f t="shared" si="61"/>
        <v>0</v>
      </c>
      <c r="AF62" s="451">
        <f t="shared" si="62"/>
        <v>0</v>
      </c>
      <c r="AG62" s="451">
        <f t="shared" si="63"/>
        <v>0</v>
      </c>
      <c r="AH62" s="480">
        <f t="shared" ref="AH62" si="71">M62-G62</f>
        <v>-990.87227999999982</v>
      </c>
    </row>
    <row r="63" spans="1:36">
      <c r="A63" s="437" t="s">
        <v>466</v>
      </c>
      <c r="B63" s="451">
        <f t="shared" si="68"/>
        <v>0</v>
      </c>
      <c r="C63" s="451">
        <f t="shared" si="69"/>
        <v>0</v>
      </c>
      <c r="D63" s="800">
        <v>0</v>
      </c>
      <c r="E63" s="451">
        <f t="shared" si="65"/>
        <v>0</v>
      </c>
      <c r="F63" s="567"/>
      <c r="G63" s="464"/>
      <c r="H63" s="460"/>
      <c r="I63" s="460"/>
      <c r="J63" s="460"/>
      <c r="K63" s="460"/>
      <c r="L63" s="460"/>
      <c r="M63" s="460"/>
      <c r="N63" s="460"/>
      <c r="O63" s="460"/>
      <c r="P63" s="460"/>
      <c r="Q63" s="460"/>
      <c r="R63" s="460"/>
      <c r="S63" s="460"/>
      <c r="T63" s="460"/>
      <c r="U63" s="460"/>
      <c r="V63" s="460"/>
      <c r="W63" s="460"/>
      <c r="X63" s="460"/>
      <c r="Y63" s="460"/>
      <c r="Z63" s="499" t="s">
        <v>585</v>
      </c>
      <c r="AB63" s="437" t="s">
        <v>466</v>
      </c>
      <c r="AC63" s="551">
        <f t="shared" si="59"/>
        <v>0</v>
      </c>
      <c r="AD63" s="451">
        <f t="shared" si="60"/>
        <v>0</v>
      </c>
      <c r="AE63" s="451">
        <f t="shared" si="61"/>
        <v>0</v>
      </c>
      <c r="AF63" s="451">
        <f t="shared" si="62"/>
        <v>0</v>
      </c>
      <c r="AG63" s="451">
        <f t="shared" si="63"/>
        <v>0</v>
      </c>
    </row>
    <row r="64" spans="1:36">
      <c r="A64" s="437" t="s">
        <v>467</v>
      </c>
      <c r="B64" s="451">
        <f t="shared" si="68"/>
        <v>1001.5037314132265</v>
      </c>
      <c r="C64" s="451">
        <f t="shared" si="69"/>
        <v>3685.0963647305571</v>
      </c>
      <c r="D64" s="810">
        <v>2297.3808600000125</v>
      </c>
      <c r="E64" s="451">
        <f t="shared" si="65"/>
        <v>-2683.5926333173306</v>
      </c>
      <c r="F64" s="567"/>
      <c r="G64" s="817">
        <v>4232.2740599999934</v>
      </c>
      <c r="H64" s="460"/>
      <c r="I64" s="460"/>
      <c r="J64" s="460"/>
      <c r="K64" s="460"/>
      <c r="L64" s="460"/>
      <c r="M64" s="824">
        <f>'3. P y G PRESENTACION'!C44/1000</f>
        <v>3685.0963647305571</v>
      </c>
      <c r="N64" s="459"/>
      <c r="O64" s="459"/>
      <c r="P64" s="459"/>
      <c r="Q64" s="459"/>
      <c r="R64" s="459"/>
      <c r="S64" s="459"/>
      <c r="T64" s="459"/>
      <c r="U64" s="459"/>
      <c r="V64" s="459"/>
      <c r="W64" s="459"/>
      <c r="X64" s="459"/>
      <c r="Y64" s="824">
        <f>'3. P y G PRESENTACION'!B44/1000</f>
        <v>1001.5037314132265</v>
      </c>
      <c r="Z64" s="489" t="s">
        <v>578</v>
      </c>
      <c r="AB64" s="437" t="s">
        <v>467</v>
      </c>
      <c r="AC64" s="551">
        <f t="shared" si="59"/>
        <v>4232.2740599999934</v>
      </c>
      <c r="AD64" s="451">
        <f t="shared" si="60"/>
        <v>-547.1776952694363</v>
      </c>
      <c r="AE64" s="451">
        <f t="shared" si="61"/>
        <v>3685.0963647305571</v>
      </c>
      <c r="AF64" s="451">
        <f t="shared" si="62"/>
        <v>-2683.5926333173306</v>
      </c>
      <c r="AG64" s="451">
        <f t="shared" si="63"/>
        <v>1001.5037314132265</v>
      </c>
      <c r="AH64" s="480">
        <f t="shared" ref="AH64" si="72">M64-G64</f>
        <v>-547.1776952694363</v>
      </c>
    </row>
    <row r="65" spans="1:34">
      <c r="A65" s="437" t="s">
        <v>468</v>
      </c>
      <c r="B65" s="451">
        <f t="shared" si="68"/>
        <v>0</v>
      </c>
      <c r="C65" s="451">
        <f t="shared" si="69"/>
        <v>0</v>
      </c>
      <c r="D65" s="800"/>
      <c r="E65" s="451">
        <f t="shared" si="65"/>
        <v>0</v>
      </c>
      <c r="G65" s="464"/>
      <c r="H65" s="460"/>
      <c r="I65" s="460"/>
      <c r="J65" s="460"/>
      <c r="K65" s="460"/>
      <c r="L65" s="460"/>
      <c r="M65" s="460"/>
      <c r="N65" s="460"/>
      <c r="O65" s="460"/>
      <c r="P65" s="460"/>
      <c r="Q65" s="460"/>
      <c r="R65" s="460"/>
      <c r="S65" s="460"/>
      <c r="T65" s="460"/>
      <c r="U65" s="460"/>
      <c r="V65" s="460"/>
      <c r="W65" s="460"/>
      <c r="X65" s="460"/>
      <c r="Y65" s="460"/>
      <c r="AB65" s="437" t="s">
        <v>468</v>
      </c>
      <c r="AC65" s="551">
        <f t="shared" si="59"/>
        <v>0</v>
      </c>
      <c r="AD65" s="451">
        <f t="shared" si="60"/>
        <v>0</v>
      </c>
      <c r="AE65" s="451">
        <f t="shared" si="61"/>
        <v>0</v>
      </c>
      <c r="AF65" s="451">
        <f t="shared" si="62"/>
        <v>0</v>
      </c>
      <c r="AG65" s="451">
        <f t="shared" si="63"/>
        <v>0</v>
      </c>
    </row>
    <row r="66" spans="1:34">
      <c r="A66" s="437" t="s">
        <v>469</v>
      </c>
      <c r="B66" s="451">
        <f t="shared" si="68"/>
        <v>0</v>
      </c>
      <c r="C66" s="451">
        <f t="shared" si="69"/>
        <v>0</v>
      </c>
      <c r="D66" s="800"/>
      <c r="E66" s="451">
        <f t="shared" si="65"/>
        <v>0</v>
      </c>
      <c r="G66" s="464"/>
      <c r="H66" s="460"/>
      <c r="I66" s="460"/>
      <c r="J66" s="460"/>
      <c r="K66" s="460"/>
      <c r="L66" s="460"/>
      <c r="M66" s="460"/>
      <c r="N66" s="460"/>
      <c r="O66" s="460"/>
      <c r="P66" s="460"/>
      <c r="Q66" s="460"/>
      <c r="R66" s="460"/>
      <c r="S66" s="460"/>
      <c r="T66" s="460"/>
      <c r="U66" s="460"/>
      <c r="V66" s="460"/>
      <c r="W66" s="460"/>
      <c r="X66" s="460"/>
      <c r="Y66" s="460"/>
      <c r="AB66" s="437" t="s">
        <v>469</v>
      </c>
      <c r="AC66" s="551">
        <f t="shared" si="59"/>
        <v>0</v>
      </c>
      <c r="AD66" s="451">
        <f t="shared" si="60"/>
        <v>0</v>
      </c>
      <c r="AE66" s="451">
        <f t="shared" si="61"/>
        <v>0</v>
      </c>
      <c r="AF66" s="451">
        <f t="shared" si="62"/>
        <v>0</v>
      </c>
      <c r="AG66" s="451">
        <f t="shared" si="63"/>
        <v>0</v>
      </c>
    </row>
    <row r="67" spans="1:34">
      <c r="A67" s="437" t="s">
        <v>470</v>
      </c>
      <c r="B67" s="451">
        <f t="shared" si="68"/>
        <v>0</v>
      </c>
      <c r="C67" s="451">
        <f t="shared" si="69"/>
        <v>0</v>
      </c>
      <c r="D67" s="800"/>
      <c r="E67" s="451">
        <f t="shared" si="65"/>
        <v>0</v>
      </c>
      <c r="G67" s="464"/>
      <c r="H67" s="460"/>
      <c r="I67" s="460"/>
      <c r="J67" s="460"/>
      <c r="K67" s="460"/>
      <c r="L67" s="460"/>
      <c r="M67" s="460"/>
      <c r="N67" s="460"/>
      <c r="O67" s="460"/>
      <c r="P67" s="460"/>
      <c r="Q67" s="460"/>
      <c r="R67" s="460"/>
      <c r="S67" s="460"/>
      <c r="T67" s="460"/>
      <c r="U67" s="460"/>
      <c r="V67" s="460"/>
      <c r="W67" s="460"/>
      <c r="X67" s="460"/>
      <c r="Y67" s="460"/>
      <c r="AB67" s="437" t="s">
        <v>470</v>
      </c>
      <c r="AC67" s="475">
        <f t="shared" si="59"/>
        <v>0</v>
      </c>
      <c r="AD67" s="438">
        <f t="shared" si="60"/>
        <v>0</v>
      </c>
      <c r="AE67" s="438">
        <f t="shared" si="61"/>
        <v>0</v>
      </c>
      <c r="AF67" s="438">
        <f t="shared" si="62"/>
        <v>0</v>
      </c>
      <c r="AG67" s="438">
        <f t="shared" si="63"/>
        <v>0</v>
      </c>
    </row>
    <row r="68" spans="1:34" ht="15.75" thickBot="1">
      <c r="A68" s="440" t="s">
        <v>471</v>
      </c>
      <c r="B68" s="451" t="e">
        <f t="shared" si="68"/>
        <v>#REF!</v>
      </c>
      <c r="C68" s="451" t="e">
        <f t="shared" si="69"/>
        <v>#REF!</v>
      </c>
      <c r="D68" s="810">
        <v>22139.763469999998</v>
      </c>
      <c r="E68" s="451" t="e">
        <f t="shared" si="65"/>
        <v>#REF!</v>
      </c>
      <c r="F68" s="567"/>
      <c r="G68" s="818">
        <v>20995.496029999998</v>
      </c>
      <c r="H68" s="461"/>
      <c r="I68" s="461"/>
      <c r="J68" s="461"/>
      <c r="K68" s="461"/>
      <c r="L68" s="460"/>
      <c r="M68" s="731" t="e">
        <f>22257.45526-#REF!/1000+#REF!/1000</f>
        <v>#REF!</v>
      </c>
      <c r="N68" s="720"/>
      <c r="O68" s="720"/>
      <c r="P68" s="720"/>
      <c r="Q68" s="720"/>
      <c r="R68" s="720"/>
      <c r="S68" s="720"/>
      <c r="T68" s="720"/>
      <c r="U68" s="720"/>
      <c r="V68" s="720"/>
      <c r="W68" s="720"/>
      <c r="X68" s="720"/>
      <c r="Y68" s="731" t="e">
        <f>M68-#REF!/1000+#REF!/1000</f>
        <v>#REF!</v>
      </c>
      <c r="Z68" s="488" t="s">
        <v>577</v>
      </c>
      <c r="AB68" s="440" t="s">
        <v>471</v>
      </c>
      <c r="AC68" s="547">
        <f t="shared" si="59"/>
        <v>20995.496029999998</v>
      </c>
      <c r="AD68" s="441" t="e">
        <f t="shared" si="60"/>
        <v>#REF!</v>
      </c>
      <c r="AE68" s="441" t="e">
        <f t="shared" si="61"/>
        <v>#REF!</v>
      </c>
      <c r="AF68" s="441" t="e">
        <f t="shared" si="62"/>
        <v>#REF!</v>
      </c>
      <c r="AG68" s="441" t="e">
        <f t="shared" si="63"/>
        <v>#REF!</v>
      </c>
      <c r="AH68" s="480" t="e">
        <f t="shared" ref="AH68:AH69" si="73">M68-G68</f>
        <v>#REF!</v>
      </c>
    </row>
    <row r="69" spans="1:34" ht="15.75" thickBot="1">
      <c r="A69" s="430" t="s">
        <v>472</v>
      </c>
      <c r="B69" s="450">
        <f>B70+B74+B79+B80+B81+B82+B83</f>
        <v>20027652.808534402</v>
      </c>
      <c r="C69" s="450">
        <f>C70+C74+C79+C80+C81+C82+C83</f>
        <v>23760.602769465298</v>
      </c>
      <c r="D69" s="801">
        <f>D70+D74+D79+D80+D81+D82+D83</f>
        <v>25624.350559999999</v>
      </c>
      <c r="E69" s="450">
        <f t="shared" si="65"/>
        <v>20003892.205764938</v>
      </c>
      <c r="F69" s="567"/>
      <c r="G69" s="450">
        <f t="shared" ref="G69:Y69" si="74">G70+G74+G79+G80+G81+G82+G83</f>
        <v>25655.21056</v>
      </c>
      <c r="H69" s="450">
        <f t="shared" ref="H69:J69" si="75">H70+H74+H79+H80+H81+H82+H83</f>
        <v>79.15091000000001</v>
      </c>
      <c r="I69" s="450">
        <f t="shared" si="75"/>
        <v>79.15091000000001</v>
      </c>
      <c r="J69" s="450">
        <f t="shared" si="75"/>
        <v>79.15091000000001</v>
      </c>
      <c r="K69" s="450">
        <f t="shared" si="74"/>
        <v>79.15091000000001</v>
      </c>
      <c r="L69" s="450">
        <f t="shared" si="74"/>
        <v>79.15091000000001</v>
      </c>
      <c r="M69" s="450">
        <f t="shared" si="74"/>
        <v>23760.602769465298</v>
      </c>
      <c r="N69" s="450">
        <f t="shared" si="74"/>
        <v>79.15091000000001</v>
      </c>
      <c r="O69" s="450">
        <f t="shared" si="74"/>
        <v>79.15091000000001</v>
      </c>
      <c r="P69" s="450">
        <f t="shared" si="74"/>
        <v>79.15091000000001</v>
      </c>
      <c r="Q69" s="450">
        <f t="shared" si="74"/>
        <v>79.15091000000001</v>
      </c>
      <c r="R69" s="450">
        <f t="shared" si="74"/>
        <v>79.15091000000001</v>
      </c>
      <c r="S69" s="450">
        <f t="shared" si="74"/>
        <v>79.15091000000001</v>
      </c>
      <c r="T69" s="450">
        <f t="shared" si="74"/>
        <v>79.15091000000001</v>
      </c>
      <c r="U69" s="450">
        <f t="shared" si="74"/>
        <v>79.15091000000001</v>
      </c>
      <c r="V69" s="450">
        <f t="shared" si="74"/>
        <v>79.15091000000001</v>
      </c>
      <c r="W69" s="450">
        <f t="shared" si="74"/>
        <v>79.15091000000001</v>
      </c>
      <c r="X69" s="450">
        <f t="shared" si="74"/>
        <v>79.15091000000001</v>
      </c>
      <c r="Y69" s="450">
        <f t="shared" si="74"/>
        <v>20027652.808534402</v>
      </c>
      <c r="AB69" s="430" t="s">
        <v>472</v>
      </c>
      <c r="AC69" s="450">
        <f t="shared" si="59"/>
        <v>25655.21056</v>
      </c>
      <c r="AD69" s="450">
        <f t="shared" si="60"/>
        <v>-1894.6077905347011</v>
      </c>
      <c r="AE69" s="450">
        <f t="shared" si="61"/>
        <v>23760.602769465298</v>
      </c>
      <c r="AF69" s="450">
        <f t="shared" si="62"/>
        <v>20003892.205764938</v>
      </c>
      <c r="AG69" s="450">
        <f t="shared" si="63"/>
        <v>20027652.808534402</v>
      </c>
      <c r="AH69" s="480">
        <f t="shared" si="73"/>
        <v>-1894.6077905347011</v>
      </c>
    </row>
    <row r="70" spans="1:34">
      <c r="A70" s="432" t="s">
        <v>473</v>
      </c>
      <c r="B70" s="433">
        <f>SUM(B71:B73)</f>
        <v>0</v>
      </c>
      <c r="C70" s="433">
        <f>SUM(C71:C73)</f>
        <v>0</v>
      </c>
      <c r="D70" s="791">
        <f>SUM(D71:D73)</f>
        <v>0</v>
      </c>
      <c r="E70" s="433">
        <f t="shared" si="65"/>
        <v>0</v>
      </c>
      <c r="G70" s="474">
        <f t="shared" ref="G70:Y70" si="76">SUM(G71:G73)</f>
        <v>0</v>
      </c>
      <c r="H70" s="433">
        <f t="shared" ref="H70:J70" si="77">SUM(H71:H73)</f>
        <v>0</v>
      </c>
      <c r="I70" s="433">
        <f t="shared" si="77"/>
        <v>0</v>
      </c>
      <c r="J70" s="433">
        <f t="shared" si="77"/>
        <v>0</v>
      </c>
      <c r="K70" s="433">
        <f t="shared" si="76"/>
        <v>0</v>
      </c>
      <c r="L70" s="433">
        <f t="shared" si="76"/>
        <v>0</v>
      </c>
      <c r="M70" s="433">
        <f t="shared" si="76"/>
        <v>0</v>
      </c>
      <c r="N70" s="433">
        <f t="shared" si="76"/>
        <v>0</v>
      </c>
      <c r="O70" s="433">
        <f t="shared" si="76"/>
        <v>0</v>
      </c>
      <c r="P70" s="433">
        <f t="shared" si="76"/>
        <v>0</v>
      </c>
      <c r="Q70" s="433">
        <f t="shared" si="76"/>
        <v>0</v>
      </c>
      <c r="R70" s="433">
        <f t="shared" si="76"/>
        <v>0</v>
      </c>
      <c r="S70" s="433">
        <f t="shared" si="76"/>
        <v>0</v>
      </c>
      <c r="T70" s="433">
        <f t="shared" si="76"/>
        <v>0</v>
      </c>
      <c r="U70" s="433">
        <f t="shared" si="76"/>
        <v>0</v>
      </c>
      <c r="V70" s="433">
        <f t="shared" si="76"/>
        <v>0</v>
      </c>
      <c r="W70" s="433">
        <f t="shared" si="76"/>
        <v>0</v>
      </c>
      <c r="X70" s="433">
        <f t="shared" si="76"/>
        <v>0</v>
      </c>
      <c r="Y70" s="433">
        <f t="shared" si="76"/>
        <v>0</v>
      </c>
      <c r="AB70" s="432" t="s">
        <v>473</v>
      </c>
      <c r="AC70" s="474">
        <f t="shared" si="59"/>
        <v>0</v>
      </c>
      <c r="AD70" s="433">
        <f t="shared" si="60"/>
        <v>0</v>
      </c>
      <c r="AE70" s="433">
        <f t="shared" si="61"/>
        <v>0</v>
      </c>
      <c r="AF70" s="433">
        <f t="shared" si="62"/>
        <v>0</v>
      </c>
      <c r="AG70" s="433">
        <f t="shared" si="63"/>
        <v>0</v>
      </c>
    </row>
    <row r="71" spans="1:34">
      <c r="A71" s="434" t="s">
        <v>474</v>
      </c>
      <c r="B71" s="452">
        <f>Y71</f>
        <v>0</v>
      </c>
      <c r="C71" s="452">
        <f>M71</f>
        <v>0</v>
      </c>
      <c r="D71" s="802">
        <v>0</v>
      </c>
      <c r="E71" s="452">
        <f t="shared" si="65"/>
        <v>0</v>
      </c>
      <c r="G71" s="463">
        <v>0</v>
      </c>
      <c r="H71" s="460"/>
      <c r="I71" s="460"/>
      <c r="J71" s="460"/>
      <c r="K71" s="460"/>
      <c r="L71" s="460"/>
      <c r="M71" s="460"/>
      <c r="N71" s="460"/>
      <c r="O71" s="460"/>
      <c r="P71" s="460"/>
      <c r="Q71" s="460"/>
      <c r="R71" s="460"/>
      <c r="S71" s="460"/>
      <c r="T71" s="460"/>
      <c r="U71" s="460"/>
      <c r="V71" s="460"/>
      <c r="W71" s="460"/>
      <c r="X71" s="460"/>
      <c r="Y71" s="460"/>
      <c r="AB71" s="434" t="s">
        <v>474</v>
      </c>
      <c r="AC71" s="552">
        <f t="shared" si="59"/>
        <v>0</v>
      </c>
      <c r="AD71" s="452">
        <f t="shared" si="60"/>
        <v>0</v>
      </c>
      <c r="AE71" s="452">
        <f t="shared" si="61"/>
        <v>0</v>
      </c>
      <c r="AF71" s="452">
        <f t="shared" si="62"/>
        <v>0</v>
      </c>
      <c r="AG71" s="452">
        <f t="shared" si="63"/>
        <v>0</v>
      </c>
    </row>
    <row r="72" spans="1:34">
      <c r="A72" s="434" t="s">
        <v>475</v>
      </c>
      <c r="B72" s="452">
        <f>Y72</f>
        <v>0</v>
      </c>
      <c r="C72" s="452">
        <f>M72</f>
        <v>0</v>
      </c>
      <c r="D72" s="802"/>
      <c r="E72" s="452">
        <f t="shared" si="65"/>
        <v>0</v>
      </c>
      <c r="G72" s="463">
        <v>0</v>
      </c>
      <c r="H72" s="460"/>
      <c r="I72" s="460"/>
      <c r="J72" s="460"/>
      <c r="K72" s="460"/>
      <c r="L72" s="460"/>
      <c r="M72" s="460"/>
      <c r="N72" s="460"/>
      <c r="O72" s="460"/>
      <c r="P72" s="460"/>
      <c r="Q72" s="460"/>
      <c r="R72" s="460"/>
      <c r="S72" s="460"/>
      <c r="T72" s="460"/>
      <c r="U72" s="460"/>
      <c r="V72" s="460"/>
      <c r="W72" s="460"/>
      <c r="X72" s="460"/>
      <c r="Y72" s="460"/>
      <c r="AB72" s="434" t="s">
        <v>475</v>
      </c>
      <c r="AC72" s="552">
        <f t="shared" si="59"/>
        <v>0</v>
      </c>
      <c r="AD72" s="452">
        <f t="shared" si="60"/>
        <v>0</v>
      </c>
      <c r="AE72" s="452">
        <f t="shared" si="61"/>
        <v>0</v>
      </c>
      <c r="AF72" s="452">
        <f t="shared" si="62"/>
        <v>0</v>
      </c>
      <c r="AG72" s="452">
        <f t="shared" si="63"/>
        <v>0</v>
      </c>
    </row>
    <row r="73" spans="1:34">
      <c r="A73" s="434" t="s">
        <v>476</v>
      </c>
      <c r="B73" s="452">
        <f>Y73</f>
        <v>0</v>
      </c>
      <c r="C73" s="452">
        <f>M73</f>
        <v>0</v>
      </c>
      <c r="D73" s="802"/>
      <c r="E73" s="452">
        <f t="shared" si="65"/>
        <v>0</v>
      </c>
      <c r="G73" s="463">
        <v>0</v>
      </c>
      <c r="H73" s="460"/>
      <c r="I73" s="460"/>
      <c r="J73" s="460"/>
      <c r="K73" s="460"/>
      <c r="L73" s="460"/>
      <c r="M73" s="460"/>
      <c r="N73" s="460"/>
      <c r="O73" s="460"/>
      <c r="P73" s="460"/>
      <c r="Q73" s="460"/>
      <c r="R73" s="460"/>
      <c r="S73" s="460"/>
      <c r="T73" s="460"/>
      <c r="U73" s="460"/>
      <c r="V73" s="460"/>
      <c r="W73" s="460"/>
      <c r="X73" s="460"/>
      <c r="Y73" s="460"/>
      <c r="AB73" s="434" t="s">
        <v>476</v>
      </c>
      <c r="AC73" s="552">
        <f t="shared" si="59"/>
        <v>0</v>
      </c>
      <c r="AD73" s="452">
        <f t="shared" si="60"/>
        <v>0</v>
      </c>
      <c r="AE73" s="452">
        <f t="shared" si="61"/>
        <v>0</v>
      </c>
      <c r="AF73" s="452">
        <f t="shared" si="62"/>
        <v>0</v>
      </c>
      <c r="AG73" s="452">
        <f t="shared" si="63"/>
        <v>0</v>
      </c>
    </row>
    <row r="74" spans="1:34">
      <c r="A74" s="437" t="s">
        <v>477</v>
      </c>
      <c r="B74" s="438">
        <f>SUM(B75:B78)</f>
        <v>20027652.808534402</v>
      </c>
      <c r="C74" s="438">
        <f>SUM(C75:C78)</f>
        <v>23760.602769465298</v>
      </c>
      <c r="D74" s="792">
        <f>SUM(D75:D78)</f>
        <v>25624.350559999999</v>
      </c>
      <c r="E74" s="438">
        <f t="shared" si="65"/>
        <v>20003892.205764938</v>
      </c>
      <c r="F74" s="567"/>
      <c r="G74" s="475">
        <f t="shared" ref="G74:Y74" si="78">SUM(G75:G78)</f>
        <v>25655.21056</v>
      </c>
      <c r="H74" s="438">
        <f t="shared" ref="H74:J74" si="79">SUM(H75:H78)</f>
        <v>79.15091000000001</v>
      </c>
      <c r="I74" s="438">
        <f t="shared" si="79"/>
        <v>79.15091000000001</v>
      </c>
      <c r="J74" s="438">
        <f t="shared" si="79"/>
        <v>79.15091000000001</v>
      </c>
      <c r="K74" s="438">
        <f t="shared" si="78"/>
        <v>79.15091000000001</v>
      </c>
      <c r="L74" s="438">
        <f t="shared" si="78"/>
        <v>79.15091000000001</v>
      </c>
      <c r="M74" s="438">
        <f t="shared" si="78"/>
        <v>23760.602769465298</v>
      </c>
      <c r="N74" s="438">
        <f t="shared" si="78"/>
        <v>79.15091000000001</v>
      </c>
      <c r="O74" s="438">
        <f t="shared" si="78"/>
        <v>79.15091000000001</v>
      </c>
      <c r="P74" s="438">
        <f t="shared" si="78"/>
        <v>79.15091000000001</v>
      </c>
      <c r="Q74" s="438">
        <f t="shared" si="78"/>
        <v>79.15091000000001</v>
      </c>
      <c r="R74" s="438">
        <f t="shared" si="78"/>
        <v>79.15091000000001</v>
      </c>
      <c r="S74" s="438">
        <f t="shared" si="78"/>
        <v>79.15091000000001</v>
      </c>
      <c r="T74" s="438">
        <f t="shared" si="78"/>
        <v>79.15091000000001</v>
      </c>
      <c r="U74" s="438">
        <f t="shared" si="78"/>
        <v>79.15091000000001</v>
      </c>
      <c r="V74" s="438">
        <f t="shared" si="78"/>
        <v>79.15091000000001</v>
      </c>
      <c r="W74" s="438">
        <f t="shared" si="78"/>
        <v>79.15091000000001</v>
      </c>
      <c r="X74" s="438">
        <f t="shared" si="78"/>
        <v>79.15091000000001</v>
      </c>
      <c r="Y74" s="438">
        <f t="shared" si="78"/>
        <v>20027652.808534402</v>
      </c>
      <c r="AB74" s="437" t="s">
        <v>477</v>
      </c>
      <c r="AC74" s="475">
        <f t="shared" si="59"/>
        <v>25655.21056</v>
      </c>
      <c r="AD74" s="438">
        <f t="shared" si="60"/>
        <v>-1894.6077905347011</v>
      </c>
      <c r="AE74" s="438">
        <f t="shared" si="61"/>
        <v>23760.602769465298</v>
      </c>
      <c r="AF74" s="438">
        <f t="shared" si="62"/>
        <v>20003892.205764938</v>
      </c>
      <c r="AG74" s="438">
        <f t="shared" si="63"/>
        <v>20027652.808534402</v>
      </c>
      <c r="AH74" s="480">
        <f t="shared" ref="AH74" si="80">M74-G74</f>
        <v>-1894.6077905347011</v>
      </c>
    </row>
    <row r="75" spans="1:34">
      <c r="A75" s="434" t="s">
        <v>478</v>
      </c>
      <c r="B75" s="452">
        <f t="shared" ref="B75:B83" si="81">Y75</f>
        <v>0</v>
      </c>
      <c r="C75" s="452">
        <f t="shared" ref="C75:C83" si="82">M75</f>
        <v>0</v>
      </c>
      <c r="D75" s="802"/>
      <c r="E75" s="452">
        <f t="shared" si="65"/>
        <v>0</v>
      </c>
      <c r="G75" s="463">
        <v>0</v>
      </c>
      <c r="H75" s="460"/>
      <c r="I75" s="460"/>
      <c r="J75" s="460"/>
      <c r="K75" s="460"/>
      <c r="L75" s="460"/>
      <c r="M75" s="460"/>
      <c r="N75" s="460"/>
      <c r="O75" s="460"/>
      <c r="P75" s="460"/>
      <c r="Q75" s="460"/>
      <c r="R75" s="460"/>
      <c r="S75" s="460"/>
      <c r="T75" s="460"/>
      <c r="U75" s="460"/>
      <c r="V75" s="460"/>
      <c r="W75" s="460"/>
      <c r="X75" s="460"/>
      <c r="Y75" s="460"/>
      <c r="AB75" s="434" t="s">
        <v>478</v>
      </c>
      <c r="AC75" s="552">
        <f t="shared" si="59"/>
        <v>0</v>
      </c>
      <c r="AD75" s="452">
        <f t="shared" si="60"/>
        <v>0</v>
      </c>
      <c r="AE75" s="452">
        <f t="shared" si="61"/>
        <v>0</v>
      </c>
      <c r="AF75" s="452">
        <f t="shared" si="62"/>
        <v>0</v>
      </c>
      <c r="AG75" s="452">
        <f t="shared" si="63"/>
        <v>0</v>
      </c>
    </row>
    <row r="76" spans="1:34">
      <c r="A76" s="434" t="s">
        <v>479</v>
      </c>
      <c r="B76" s="452">
        <f t="shared" si="81"/>
        <v>20027573.657624401</v>
      </c>
      <c r="C76" s="452">
        <f t="shared" si="82"/>
        <v>23681.451859465298</v>
      </c>
      <c r="D76" s="798">
        <v>25576.059649999999</v>
      </c>
      <c r="E76" s="452">
        <f t="shared" si="65"/>
        <v>20003892.205764934</v>
      </c>
      <c r="F76" s="567"/>
      <c r="G76" s="815">
        <v>25576.059649999999</v>
      </c>
      <c r="H76" s="460"/>
      <c r="I76" s="460"/>
      <c r="J76" s="460"/>
      <c r="K76" s="460"/>
      <c r="L76" s="460"/>
      <c r="M76" s="731">
        <f>16681.4518594653+7000</f>
        <v>23681.451859465298</v>
      </c>
      <c r="N76" s="460"/>
      <c r="O76" s="460"/>
      <c r="P76" s="460"/>
      <c r="Q76" s="460"/>
      <c r="R76" s="460"/>
      <c r="S76" s="460"/>
      <c r="T76" s="460"/>
      <c r="U76" s="460"/>
      <c r="V76" s="460"/>
      <c r="W76" s="460"/>
      <c r="X76" s="460"/>
      <c r="Y76" s="731">
        <f>13027573.6576244+7000000</f>
        <v>20027573.657624401</v>
      </c>
      <c r="Z76" s="488" t="s">
        <v>577</v>
      </c>
      <c r="AB76" s="434" t="s">
        <v>479</v>
      </c>
      <c r="AC76" s="553">
        <f t="shared" si="59"/>
        <v>25576.059649999999</v>
      </c>
      <c r="AD76" s="453">
        <f t="shared" si="60"/>
        <v>-1894.6077905347011</v>
      </c>
      <c r="AE76" s="453">
        <f t="shared" si="61"/>
        <v>23681.451859465298</v>
      </c>
      <c r="AF76" s="453">
        <f t="shared" si="62"/>
        <v>20003892.205764934</v>
      </c>
      <c r="AG76" s="453">
        <f t="shared" si="63"/>
        <v>20027573.657624401</v>
      </c>
      <c r="AH76" s="480">
        <f t="shared" ref="AH76" si="83">M76-G76</f>
        <v>-1894.6077905347011</v>
      </c>
    </row>
    <row r="77" spans="1:34">
      <c r="A77" s="434" t="s">
        <v>480</v>
      </c>
      <c r="B77" s="452">
        <f t="shared" si="81"/>
        <v>0</v>
      </c>
      <c r="C77" s="452">
        <f t="shared" si="82"/>
        <v>0</v>
      </c>
      <c r="D77" s="802">
        <v>0</v>
      </c>
      <c r="E77" s="452">
        <f t="shared" si="65"/>
        <v>0</v>
      </c>
      <c r="G77" s="463">
        <v>0</v>
      </c>
      <c r="H77" s="460"/>
      <c r="I77" s="460"/>
      <c r="J77" s="460"/>
      <c r="K77" s="460"/>
      <c r="L77" s="460"/>
      <c r="M77" s="460"/>
      <c r="N77" s="460"/>
      <c r="O77" s="460"/>
      <c r="P77" s="460"/>
      <c r="Q77" s="460"/>
      <c r="R77" s="460"/>
      <c r="S77" s="460"/>
      <c r="T77" s="460"/>
      <c r="U77" s="460"/>
      <c r="V77" s="460"/>
      <c r="W77" s="460"/>
      <c r="X77" s="460"/>
      <c r="Y77" s="460"/>
      <c r="AB77" s="434" t="s">
        <v>480</v>
      </c>
      <c r="AC77" s="552">
        <f t="shared" si="59"/>
        <v>0</v>
      </c>
      <c r="AD77" s="452">
        <f t="shared" si="60"/>
        <v>0</v>
      </c>
      <c r="AE77" s="452">
        <f t="shared" si="61"/>
        <v>0</v>
      </c>
      <c r="AF77" s="452">
        <f t="shared" si="62"/>
        <v>0</v>
      </c>
      <c r="AG77" s="452">
        <f t="shared" si="63"/>
        <v>0</v>
      </c>
    </row>
    <row r="78" spans="1:34">
      <c r="A78" s="434" t="s">
        <v>481</v>
      </c>
      <c r="B78" s="452">
        <f t="shared" si="81"/>
        <v>79.15091000000001</v>
      </c>
      <c r="C78" s="452">
        <f t="shared" si="82"/>
        <v>79.15091000000001</v>
      </c>
      <c r="D78" s="798">
        <v>48.290910000000004</v>
      </c>
      <c r="E78" s="452">
        <f t="shared" si="65"/>
        <v>0</v>
      </c>
      <c r="F78" s="567"/>
      <c r="G78" s="815">
        <v>79.15091000000001</v>
      </c>
      <c r="H78" s="823">
        <f>G78</f>
        <v>79.15091000000001</v>
      </c>
      <c r="I78" s="823">
        <f t="shared" ref="I78:Y78" si="84">H78</f>
        <v>79.15091000000001</v>
      </c>
      <c r="J78" s="823">
        <f t="shared" si="84"/>
        <v>79.15091000000001</v>
      </c>
      <c r="K78" s="823">
        <f t="shared" si="84"/>
        <v>79.15091000000001</v>
      </c>
      <c r="L78" s="823">
        <f t="shared" si="84"/>
        <v>79.15091000000001</v>
      </c>
      <c r="M78" s="823">
        <f t="shared" si="84"/>
        <v>79.15091000000001</v>
      </c>
      <c r="N78" s="823">
        <f t="shared" si="84"/>
        <v>79.15091000000001</v>
      </c>
      <c r="O78" s="823">
        <f t="shared" si="84"/>
        <v>79.15091000000001</v>
      </c>
      <c r="P78" s="823">
        <f t="shared" si="84"/>
        <v>79.15091000000001</v>
      </c>
      <c r="Q78" s="823">
        <f t="shared" si="84"/>
        <v>79.15091000000001</v>
      </c>
      <c r="R78" s="823">
        <f t="shared" si="84"/>
        <v>79.15091000000001</v>
      </c>
      <c r="S78" s="823">
        <f t="shared" si="84"/>
        <v>79.15091000000001</v>
      </c>
      <c r="T78" s="823">
        <f t="shared" si="84"/>
        <v>79.15091000000001</v>
      </c>
      <c r="U78" s="823">
        <f t="shared" si="84"/>
        <v>79.15091000000001</v>
      </c>
      <c r="V78" s="823">
        <f t="shared" si="84"/>
        <v>79.15091000000001</v>
      </c>
      <c r="W78" s="823">
        <f t="shared" si="84"/>
        <v>79.15091000000001</v>
      </c>
      <c r="X78" s="823">
        <f t="shared" si="84"/>
        <v>79.15091000000001</v>
      </c>
      <c r="Y78" s="823">
        <f t="shared" si="84"/>
        <v>79.15091000000001</v>
      </c>
      <c r="Z78" s="488" t="s">
        <v>577</v>
      </c>
      <c r="AB78" s="434" t="s">
        <v>481</v>
      </c>
      <c r="AC78" s="552">
        <f t="shared" si="59"/>
        <v>79.15091000000001</v>
      </c>
      <c r="AD78" s="452">
        <f t="shared" si="60"/>
        <v>0</v>
      </c>
      <c r="AE78" s="452">
        <f t="shared" si="61"/>
        <v>79.15091000000001</v>
      </c>
      <c r="AF78" s="452">
        <f t="shared" si="62"/>
        <v>0</v>
      </c>
      <c r="AG78" s="452">
        <f t="shared" si="63"/>
        <v>79.15091000000001</v>
      </c>
      <c r="AH78" s="480">
        <f t="shared" ref="AH78" si="85">M78-G78</f>
        <v>0</v>
      </c>
    </row>
    <row r="79" spans="1:34">
      <c r="A79" s="437" t="s">
        <v>482</v>
      </c>
      <c r="B79" s="439">
        <f t="shared" si="81"/>
        <v>0</v>
      </c>
      <c r="C79" s="439">
        <f t="shared" si="82"/>
        <v>0</v>
      </c>
      <c r="D79" s="735"/>
      <c r="E79" s="439">
        <f t="shared" si="65"/>
        <v>0</v>
      </c>
      <c r="G79" s="464">
        <v>0</v>
      </c>
      <c r="H79" s="460"/>
      <c r="I79" s="460"/>
      <c r="J79" s="460"/>
      <c r="K79" s="460"/>
      <c r="L79" s="460"/>
      <c r="M79" s="460"/>
      <c r="N79" s="460"/>
      <c r="O79" s="460"/>
      <c r="P79" s="460"/>
      <c r="Q79" s="460"/>
      <c r="R79" s="460"/>
      <c r="S79" s="460"/>
      <c r="T79" s="460"/>
      <c r="U79" s="460"/>
      <c r="V79" s="460"/>
      <c r="W79" s="460"/>
      <c r="X79" s="460"/>
      <c r="Y79" s="460"/>
      <c r="AB79" s="437" t="s">
        <v>482</v>
      </c>
      <c r="AC79" s="478">
        <f t="shared" si="59"/>
        <v>0</v>
      </c>
      <c r="AD79" s="439">
        <f t="shared" si="60"/>
        <v>0</v>
      </c>
      <c r="AE79" s="439">
        <f t="shared" si="61"/>
        <v>0</v>
      </c>
      <c r="AF79" s="439">
        <f t="shared" si="62"/>
        <v>0</v>
      </c>
      <c r="AG79" s="439">
        <f t="shared" si="63"/>
        <v>0</v>
      </c>
    </row>
    <row r="80" spans="1:34">
      <c r="A80" s="437" t="s">
        <v>483</v>
      </c>
      <c r="B80" s="439">
        <f t="shared" si="81"/>
        <v>0</v>
      </c>
      <c r="C80" s="439">
        <f t="shared" si="82"/>
        <v>0</v>
      </c>
      <c r="D80" s="735"/>
      <c r="E80" s="439">
        <f t="shared" si="65"/>
        <v>0</v>
      </c>
      <c r="G80" s="464">
        <v>0</v>
      </c>
      <c r="H80" s="460"/>
      <c r="I80" s="460"/>
      <c r="J80" s="460"/>
      <c r="K80" s="460"/>
      <c r="L80" s="460"/>
      <c r="M80" s="460"/>
      <c r="N80" s="460"/>
      <c r="O80" s="460"/>
      <c r="P80" s="460"/>
      <c r="Q80" s="460"/>
      <c r="R80" s="460"/>
      <c r="S80" s="460"/>
      <c r="T80" s="460"/>
      <c r="U80" s="460"/>
      <c r="V80" s="460"/>
      <c r="W80" s="460"/>
      <c r="X80" s="460"/>
      <c r="Y80" s="460"/>
      <c r="AB80" s="437" t="s">
        <v>483</v>
      </c>
      <c r="AC80" s="478">
        <f t="shared" si="59"/>
        <v>0</v>
      </c>
      <c r="AD80" s="439">
        <f t="shared" si="60"/>
        <v>0</v>
      </c>
      <c r="AE80" s="439">
        <f t="shared" si="61"/>
        <v>0</v>
      </c>
      <c r="AF80" s="439">
        <f t="shared" si="62"/>
        <v>0</v>
      </c>
      <c r="AG80" s="439">
        <f t="shared" si="63"/>
        <v>0</v>
      </c>
    </row>
    <row r="81" spans="1:34">
      <c r="A81" s="437" t="s">
        <v>484</v>
      </c>
      <c r="B81" s="439">
        <f t="shared" si="81"/>
        <v>0</v>
      </c>
      <c r="C81" s="439">
        <f t="shared" si="82"/>
        <v>0</v>
      </c>
      <c r="D81" s="735"/>
      <c r="E81" s="439">
        <f t="shared" si="65"/>
        <v>0</v>
      </c>
      <c r="F81" s="479"/>
      <c r="G81" s="464">
        <v>0</v>
      </c>
      <c r="H81" s="460"/>
      <c r="I81" s="460"/>
      <c r="J81" s="460"/>
      <c r="K81" s="460"/>
      <c r="L81" s="460"/>
      <c r="M81" s="460"/>
      <c r="N81" s="460"/>
      <c r="O81" s="460"/>
      <c r="P81" s="460"/>
      <c r="Q81" s="460"/>
      <c r="R81" s="460"/>
      <c r="S81" s="460"/>
      <c r="T81" s="460"/>
      <c r="U81" s="460"/>
      <c r="V81" s="460"/>
      <c r="W81" s="460"/>
      <c r="X81" s="460"/>
      <c r="Y81" s="460"/>
      <c r="AB81" s="437" t="s">
        <v>484</v>
      </c>
      <c r="AC81" s="478">
        <f t="shared" si="59"/>
        <v>0</v>
      </c>
      <c r="AD81" s="439">
        <f t="shared" si="60"/>
        <v>0</v>
      </c>
      <c r="AE81" s="439">
        <f t="shared" si="61"/>
        <v>0</v>
      </c>
      <c r="AF81" s="439">
        <f t="shared" si="62"/>
        <v>0</v>
      </c>
      <c r="AG81" s="439">
        <f t="shared" si="63"/>
        <v>0</v>
      </c>
    </row>
    <row r="82" spans="1:34">
      <c r="A82" s="437" t="s">
        <v>485</v>
      </c>
      <c r="B82" s="439">
        <f t="shared" si="81"/>
        <v>0</v>
      </c>
      <c r="C82" s="439">
        <f t="shared" si="82"/>
        <v>0</v>
      </c>
      <c r="D82" s="735"/>
      <c r="E82" s="439">
        <f t="shared" si="65"/>
        <v>0</v>
      </c>
      <c r="G82" s="464">
        <v>0</v>
      </c>
      <c r="H82" s="460"/>
      <c r="I82" s="460"/>
      <c r="J82" s="460"/>
      <c r="K82" s="460"/>
      <c r="L82" s="460"/>
      <c r="M82" s="460"/>
      <c r="N82" s="460"/>
      <c r="O82" s="460"/>
      <c r="P82" s="460"/>
      <c r="Q82" s="460"/>
      <c r="R82" s="460"/>
      <c r="S82" s="460"/>
      <c r="T82" s="460"/>
      <c r="U82" s="460"/>
      <c r="V82" s="460"/>
      <c r="W82" s="460"/>
      <c r="X82" s="460"/>
      <c r="Y82" s="460"/>
      <c r="AB82" s="437" t="s">
        <v>485</v>
      </c>
      <c r="AC82" s="478">
        <f t="shared" si="59"/>
        <v>0</v>
      </c>
      <c r="AD82" s="439">
        <f t="shared" si="60"/>
        <v>0</v>
      </c>
      <c r="AE82" s="439">
        <f t="shared" si="61"/>
        <v>0</v>
      </c>
      <c r="AF82" s="439">
        <f t="shared" si="62"/>
        <v>0</v>
      </c>
      <c r="AG82" s="439">
        <f t="shared" si="63"/>
        <v>0</v>
      </c>
    </row>
    <row r="83" spans="1:34" ht="15.75" thickBot="1">
      <c r="A83" s="440" t="s">
        <v>486</v>
      </c>
      <c r="B83" s="441">
        <f t="shared" si="81"/>
        <v>0</v>
      </c>
      <c r="C83" s="441">
        <f t="shared" si="82"/>
        <v>0</v>
      </c>
      <c r="D83" s="736"/>
      <c r="E83" s="441">
        <f t="shared" si="65"/>
        <v>0</v>
      </c>
      <c r="G83" s="465">
        <v>0</v>
      </c>
      <c r="H83" s="460"/>
      <c r="I83" s="460"/>
      <c r="J83" s="460"/>
      <c r="K83" s="460"/>
      <c r="L83" s="460"/>
      <c r="M83" s="460"/>
      <c r="N83" s="460"/>
      <c r="O83" s="460"/>
      <c r="P83" s="460"/>
      <c r="Q83" s="460"/>
      <c r="R83" s="460"/>
      <c r="S83" s="460"/>
      <c r="T83" s="460"/>
      <c r="U83" s="460"/>
      <c r="V83" s="460"/>
      <c r="W83" s="460"/>
      <c r="X83" s="460"/>
      <c r="Y83" s="460"/>
      <c r="AB83" s="440" t="s">
        <v>486</v>
      </c>
      <c r="AC83" s="547">
        <f t="shared" si="59"/>
        <v>0</v>
      </c>
      <c r="AD83" s="441">
        <f t="shared" si="60"/>
        <v>0</v>
      </c>
      <c r="AE83" s="441">
        <f t="shared" si="61"/>
        <v>0</v>
      </c>
      <c r="AF83" s="441">
        <f t="shared" si="62"/>
        <v>0</v>
      </c>
      <c r="AG83" s="441">
        <f t="shared" si="63"/>
        <v>0</v>
      </c>
    </row>
    <row r="84" spans="1:34" ht="15.75" thickBot="1">
      <c r="A84" s="430" t="s">
        <v>487</v>
      </c>
      <c r="B84" s="450">
        <f>B85+B86+B90+B95+B96+B99+B100</f>
        <v>3664289.3616414131</v>
      </c>
      <c r="C84" s="450">
        <f>C85+C86+C90+C95+C96+C99+C100</f>
        <v>14450.773524391432</v>
      </c>
      <c r="D84" s="801">
        <f>D85+D86+D90+D95+D96+D99+D100</f>
        <v>17988.594739999997</v>
      </c>
      <c r="E84" s="450">
        <f t="shared" si="65"/>
        <v>3649838.5881170216</v>
      </c>
      <c r="F84" s="567"/>
      <c r="G84" s="820">
        <f t="shared" ref="G84:Y84" si="86">G85+G86+G90+G95+G96+G99+G100</f>
        <v>13250.007930000002</v>
      </c>
      <c r="H84" s="450">
        <f t="shared" ref="H84:J84" si="87">H85+H86+H90+H95+H96+H99+H100</f>
        <v>10411.198680000001</v>
      </c>
      <c r="I84" s="450">
        <f t="shared" si="87"/>
        <v>10411.198680000001</v>
      </c>
      <c r="J84" s="450">
        <f t="shared" si="87"/>
        <v>10411.198680000001</v>
      </c>
      <c r="K84" s="450">
        <f t="shared" si="86"/>
        <v>10411.198680000001</v>
      </c>
      <c r="L84" s="450">
        <f t="shared" si="86"/>
        <v>10411.198680000001</v>
      </c>
      <c r="M84" s="450">
        <f t="shared" si="86"/>
        <v>14450.773524391432</v>
      </c>
      <c r="N84" s="450">
        <f t="shared" si="86"/>
        <v>10411.198680000001</v>
      </c>
      <c r="O84" s="450">
        <f t="shared" si="86"/>
        <v>10411.198680000001</v>
      </c>
      <c r="P84" s="450">
        <f t="shared" si="86"/>
        <v>10411.198680000001</v>
      </c>
      <c r="Q84" s="450">
        <f t="shared" si="86"/>
        <v>10411.198680000001</v>
      </c>
      <c r="R84" s="450">
        <f t="shared" si="86"/>
        <v>10411.198680000001</v>
      </c>
      <c r="S84" s="450">
        <f t="shared" si="86"/>
        <v>10411.198680000001</v>
      </c>
      <c r="T84" s="450">
        <f t="shared" si="86"/>
        <v>10411.198680000001</v>
      </c>
      <c r="U84" s="450">
        <f t="shared" si="86"/>
        <v>10411.198680000001</v>
      </c>
      <c r="V84" s="450">
        <f t="shared" si="86"/>
        <v>10411.198680000001</v>
      </c>
      <c r="W84" s="450">
        <f t="shared" si="86"/>
        <v>10411.198680000001</v>
      </c>
      <c r="X84" s="450">
        <f t="shared" si="86"/>
        <v>10411.198680000001</v>
      </c>
      <c r="Y84" s="450">
        <f t="shared" si="86"/>
        <v>3664289.3616414131</v>
      </c>
      <c r="AB84" s="430" t="s">
        <v>487</v>
      </c>
      <c r="AC84" s="450">
        <f t="shared" si="59"/>
        <v>13250.007930000002</v>
      </c>
      <c r="AD84" s="450">
        <f t="shared" si="60"/>
        <v>1200.7655943914306</v>
      </c>
      <c r="AE84" s="450">
        <f t="shared" si="61"/>
        <v>14450.773524391432</v>
      </c>
      <c r="AF84" s="450">
        <f t="shared" si="62"/>
        <v>3649838.5881170216</v>
      </c>
      <c r="AG84" s="450">
        <f t="shared" si="63"/>
        <v>3664289.3616414131</v>
      </c>
      <c r="AH84" s="480">
        <f t="shared" ref="AH84" si="88">M84-G84</f>
        <v>1200.7655943914306</v>
      </c>
    </row>
    <row r="85" spans="1:34">
      <c r="A85" s="432" t="s">
        <v>488</v>
      </c>
      <c r="B85" s="454">
        <f>Y85</f>
        <v>0</v>
      </c>
      <c r="C85" s="454">
        <f>M85</f>
        <v>0</v>
      </c>
      <c r="D85" s="803"/>
      <c r="E85" s="454">
        <f t="shared" si="65"/>
        <v>0</v>
      </c>
      <c r="F85" s="480">
        <f t="shared" ref="F85:F95" si="89">C85-D85</f>
        <v>0</v>
      </c>
      <c r="G85" s="462">
        <v>0</v>
      </c>
      <c r="H85" s="460"/>
      <c r="I85" s="460"/>
      <c r="J85" s="460"/>
      <c r="K85" s="460"/>
      <c r="L85" s="460"/>
      <c r="M85" s="460"/>
      <c r="N85" s="460"/>
      <c r="O85" s="460"/>
      <c r="P85" s="460"/>
      <c r="Q85" s="460"/>
      <c r="R85" s="460"/>
      <c r="S85" s="460"/>
      <c r="T85" s="460"/>
      <c r="U85" s="460"/>
      <c r="V85" s="460"/>
      <c r="W85" s="460"/>
      <c r="X85" s="460"/>
      <c r="Y85" s="460"/>
      <c r="AB85" s="432" t="s">
        <v>488</v>
      </c>
      <c r="AC85" s="554">
        <f t="shared" si="59"/>
        <v>0</v>
      </c>
      <c r="AD85" s="454">
        <f t="shared" si="60"/>
        <v>0</v>
      </c>
      <c r="AE85" s="454">
        <f t="shared" si="61"/>
        <v>0</v>
      </c>
      <c r="AF85" s="454">
        <f t="shared" si="62"/>
        <v>0</v>
      </c>
      <c r="AG85" s="454">
        <f t="shared" si="63"/>
        <v>0</v>
      </c>
    </row>
    <row r="86" spans="1:34">
      <c r="A86" s="437" t="s">
        <v>489</v>
      </c>
      <c r="B86" s="439">
        <f>SUM(B87:B89)</f>
        <v>0</v>
      </c>
      <c r="C86" s="439">
        <f>SUM(C87:C89)</f>
        <v>0</v>
      </c>
      <c r="D86" s="796">
        <f>SUM(D87:D89)</f>
        <v>0</v>
      </c>
      <c r="E86" s="439">
        <f t="shared" si="65"/>
        <v>0</v>
      </c>
      <c r="F86" s="480">
        <f t="shared" si="89"/>
        <v>0</v>
      </c>
      <c r="G86" s="478">
        <f t="shared" ref="G86:Y86" si="90">SUM(G87:G89)</f>
        <v>0</v>
      </c>
      <c r="H86" s="439">
        <f t="shared" ref="H86:J86" si="91">SUM(H87:H89)</f>
        <v>0</v>
      </c>
      <c r="I86" s="439">
        <f t="shared" si="91"/>
        <v>0</v>
      </c>
      <c r="J86" s="439">
        <f t="shared" si="91"/>
        <v>0</v>
      </c>
      <c r="K86" s="439">
        <f t="shared" si="90"/>
        <v>0</v>
      </c>
      <c r="L86" s="439">
        <f t="shared" si="90"/>
        <v>0</v>
      </c>
      <c r="M86" s="439">
        <f t="shared" si="90"/>
        <v>0</v>
      </c>
      <c r="N86" s="439">
        <f t="shared" si="90"/>
        <v>0</v>
      </c>
      <c r="O86" s="439">
        <f t="shared" si="90"/>
        <v>0</v>
      </c>
      <c r="P86" s="439">
        <f t="shared" si="90"/>
        <v>0</v>
      </c>
      <c r="Q86" s="439">
        <f t="shared" si="90"/>
        <v>0</v>
      </c>
      <c r="R86" s="439">
        <f t="shared" si="90"/>
        <v>0</v>
      </c>
      <c r="S86" s="439">
        <f t="shared" si="90"/>
        <v>0</v>
      </c>
      <c r="T86" s="439">
        <f t="shared" si="90"/>
        <v>0</v>
      </c>
      <c r="U86" s="439">
        <f t="shared" si="90"/>
        <v>0</v>
      </c>
      <c r="V86" s="439">
        <f t="shared" si="90"/>
        <v>0</v>
      </c>
      <c r="W86" s="439">
        <f t="shared" si="90"/>
        <v>0</v>
      </c>
      <c r="X86" s="439">
        <f t="shared" si="90"/>
        <v>0</v>
      </c>
      <c r="Y86" s="439">
        <f t="shared" si="90"/>
        <v>0</v>
      </c>
      <c r="AB86" s="437" t="s">
        <v>489</v>
      </c>
      <c r="AC86" s="478">
        <f t="shared" si="59"/>
        <v>0</v>
      </c>
      <c r="AD86" s="439">
        <f t="shared" si="60"/>
        <v>0</v>
      </c>
      <c r="AE86" s="439">
        <f t="shared" si="61"/>
        <v>0</v>
      </c>
      <c r="AF86" s="439">
        <f t="shared" si="62"/>
        <v>0</v>
      </c>
      <c r="AG86" s="439">
        <f t="shared" si="63"/>
        <v>0</v>
      </c>
    </row>
    <row r="87" spans="1:34">
      <c r="A87" s="434" t="s">
        <v>474</v>
      </c>
      <c r="B87" s="452">
        <f>Y87</f>
        <v>0</v>
      </c>
      <c r="C87" s="452">
        <f>M87</f>
        <v>0</v>
      </c>
      <c r="D87" s="802"/>
      <c r="E87" s="452">
        <f t="shared" si="65"/>
        <v>0</v>
      </c>
      <c r="F87" s="480">
        <f t="shared" si="89"/>
        <v>0</v>
      </c>
      <c r="G87" s="463">
        <v>0</v>
      </c>
      <c r="H87" s="460"/>
      <c r="I87" s="460"/>
      <c r="J87" s="460"/>
      <c r="K87" s="460"/>
      <c r="L87" s="460"/>
      <c r="M87" s="460"/>
      <c r="N87" s="460"/>
      <c r="O87" s="460"/>
      <c r="P87" s="460"/>
      <c r="Q87" s="460"/>
      <c r="R87" s="460"/>
      <c r="S87" s="460"/>
      <c r="T87" s="460"/>
      <c r="U87" s="460"/>
      <c r="V87" s="460"/>
      <c r="W87" s="460"/>
      <c r="X87" s="460"/>
      <c r="Y87" s="460"/>
      <c r="AB87" s="434" t="s">
        <v>474</v>
      </c>
      <c r="AC87" s="552">
        <f t="shared" si="59"/>
        <v>0</v>
      </c>
      <c r="AD87" s="452">
        <f t="shared" si="60"/>
        <v>0</v>
      </c>
      <c r="AE87" s="452">
        <f t="shared" si="61"/>
        <v>0</v>
      </c>
      <c r="AF87" s="452">
        <f t="shared" si="62"/>
        <v>0</v>
      </c>
      <c r="AG87" s="452">
        <f t="shared" si="63"/>
        <v>0</v>
      </c>
    </row>
    <row r="88" spans="1:34">
      <c r="A88" s="434" t="s">
        <v>475</v>
      </c>
      <c r="B88" s="452">
        <f>Y88</f>
        <v>0</v>
      </c>
      <c r="C88" s="452">
        <f>M88</f>
        <v>0</v>
      </c>
      <c r="D88" s="802"/>
      <c r="E88" s="452">
        <f t="shared" si="65"/>
        <v>0</v>
      </c>
      <c r="F88" s="480">
        <f t="shared" si="89"/>
        <v>0</v>
      </c>
      <c r="G88" s="463">
        <v>0</v>
      </c>
      <c r="H88" s="460"/>
      <c r="I88" s="460"/>
      <c r="J88" s="460"/>
      <c r="K88" s="460"/>
      <c r="L88" s="460"/>
      <c r="M88" s="460"/>
      <c r="N88" s="460"/>
      <c r="O88" s="460"/>
      <c r="P88" s="460"/>
      <c r="Q88" s="460"/>
      <c r="R88" s="460"/>
      <c r="S88" s="460"/>
      <c r="T88" s="460"/>
      <c r="U88" s="460"/>
      <c r="V88" s="460"/>
      <c r="W88" s="460"/>
      <c r="X88" s="460"/>
      <c r="Y88" s="460"/>
      <c r="AB88" s="434" t="s">
        <v>475</v>
      </c>
      <c r="AC88" s="552">
        <f t="shared" si="59"/>
        <v>0</v>
      </c>
      <c r="AD88" s="452">
        <f t="shared" si="60"/>
        <v>0</v>
      </c>
      <c r="AE88" s="452">
        <f t="shared" si="61"/>
        <v>0</v>
      </c>
      <c r="AF88" s="452">
        <f t="shared" si="62"/>
        <v>0</v>
      </c>
      <c r="AG88" s="452">
        <f t="shared" si="63"/>
        <v>0</v>
      </c>
    </row>
    <row r="89" spans="1:34">
      <c r="A89" s="434" t="s">
        <v>476</v>
      </c>
      <c r="B89" s="452">
        <f>Y89</f>
        <v>0</v>
      </c>
      <c r="C89" s="452">
        <f>M89</f>
        <v>0</v>
      </c>
      <c r="D89" s="802"/>
      <c r="E89" s="452">
        <f t="shared" si="65"/>
        <v>0</v>
      </c>
      <c r="F89" s="480">
        <f t="shared" si="89"/>
        <v>0</v>
      </c>
      <c r="G89" s="463">
        <v>0</v>
      </c>
      <c r="H89" s="460"/>
      <c r="I89" s="460"/>
      <c r="J89" s="460"/>
      <c r="K89" s="460"/>
      <c r="L89" s="460"/>
      <c r="M89" s="460"/>
      <c r="N89" s="460"/>
      <c r="O89" s="460"/>
      <c r="P89" s="460"/>
      <c r="Q89" s="460"/>
      <c r="R89" s="460"/>
      <c r="S89" s="460"/>
      <c r="T89" s="460"/>
      <c r="U89" s="460"/>
      <c r="V89" s="460"/>
      <c r="W89" s="460"/>
      <c r="X89" s="460"/>
      <c r="Y89" s="460"/>
      <c r="AB89" s="434" t="s">
        <v>476</v>
      </c>
      <c r="AC89" s="552">
        <f t="shared" si="59"/>
        <v>0</v>
      </c>
      <c r="AD89" s="452">
        <f t="shared" si="60"/>
        <v>0</v>
      </c>
      <c r="AE89" s="452">
        <f t="shared" si="61"/>
        <v>0</v>
      </c>
      <c r="AF89" s="452">
        <f t="shared" si="62"/>
        <v>0</v>
      </c>
      <c r="AG89" s="452">
        <f t="shared" si="63"/>
        <v>0</v>
      </c>
    </row>
    <row r="90" spans="1:34">
      <c r="A90" s="437" t="s">
        <v>490</v>
      </c>
      <c r="B90" s="438">
        <f>SUM(B91:B94)</f>
        <v>3653901.142031413</v>
      </c>
      <c r="C90" s="438">
        <f>SUM(C91:C94)</f>
        <v>4062.5539143914298</v>
      </c>
      <c r="D90" s="792">
        <f>SUM(D91:D94)</f>
        <v>5510.3706500000008</v>
      </c>
      <c r="E90" s="438">
        <f t="shared" si="65"/>
        <v>3649838.5881170216</v>
      </c>
      <c r="F90" s="567"/>
      <c r="G90" s="475">
        <f t="shared" ref="G90:Y90" si="92">SUM(G91:G94)</f>
        <v>2861.7883199999997</v>
      </c>
      <c r="H90" s="438">
        <f t="shared" ref="H90:J90" si="93">SUM(H91:H94)</f>
        <v>22.979070000000007</v>
      </c>
      <c r="I90" s="438">
        <f t="shared" si="93"/>
        <v>22.979070000000007</v>
      </c>
      <c r="J90" s="438">
        <f t="shared" si="93"/>
        <v>22.979070000000007</v>
      </c>
      <c r="K90" s="438">
        <f t="shared" si="92"/>
        <v>22.979070000000007</v>
      </c>
      <c r="L90" s="438">
        <f t="shared" si="92"/>
        <v>22.979070000000007</v>
      </c>
      <c r="M90" s="438">
        <f t="shared" si="92"/>
        <v>4062.5539143914298</v>
      </c>
      <c r="N90" s="438">
        <f t="shared" si="92"/>
        <v>22.979070000000007</v>
      </c>
      <c r="O90" s="438">
        <f t="shared" si="92"/>
        <v>22.979070000000007</v>
      </c>
      <c r="P90" s="438">
        <f t="shared" si="92"/>
        <v>22.979070000000007</v>
      </c>
      <c r="Q90" s="438">
        <f t="shared" si="92"/>
        <v>22.979070000000007</v>
      </c>
      <c r="R90" s="438">
        <f t="shared" si="92"/>
        <v>22.979070000000007</v>
      </c>
      <c r="S90" s="438">
        <f t="shared" si="92"/>
        <v>22.979070000000007</v>
      </c>
      <c r="T90" s="438">
        <f t="shared" si="92"/>
        <v>22.979070000000007</v>
      </c>
      <c r="U90" s="438">
        <f t="shared" si="92"/>
        <v>22.979070000000007</v>
      </c>
      <c r="V90" s="438">
        <f t="shared" si="92"/>
        <v>22.979070000000007</v>
      </c>
      <c r="W90" s="438">
        <f t="shared" si="92"/>
        <v>22.979070000000007</v>
      </c>
      <c r="X90" s="438">
        <f t="shared" si="92"/>
        <v>22.979070000000007</v>
      </c>
      <c r="Y90" s="438">
        <f t="shared" si="92"/>
        <v>3653901.142031413</v>
      </c>
      <c r="AB90" s="437" t="s">
        <v>490</v>
      </c>
      <c r="AC90" s="475">
        <f t="shared" si="59"/>
        <v>2861.7883199999997</v>
      </c>
      <c r="AD90" s="438">
        <f t="shared" si="60"/>
        <v>1200.7655943914301</v>
      </c>
      <c r="AE90" s="438">
        <f t="shared" si="61"/>
        <v>4062.5539143914298</v>
      </c>
      <c r="AF90" s="438">
        <f t="shared" si="62"/>
        <v>3649838.5881170216</v>
      </c>
      <c r="AG90" s="438">
        <f t="shared" si="63"/>
        <v>3653901.142031413</v>
      </c>
      <c r="AH90" s="480">
        <f t="shared" ref="AH90" si="94">M90-G90</f>
        <v>1200.7655943914301</v>
      </c>
    </row>
    <row r="91" spans="1:34">
      <c r="A91" s="434" t="s">
        <v>478</v>
      </c>
      <c r="B91" s="452">
        <f>Y91</f>
        <v>0</v>
      </c>
      <c r="C91" s="452">
        <f>M91</f>
        <v>0</v>
      </c>
      <c r="D91" s="802"/>
      <c r="E91" s="452">
        <f t="shared" si="65"/>
        <v>0</v>
      </c>
      <c r="F91" s="480">
        <f t="shared" si="89"/>
        <v>0</v>
      </c>
      <c r="G91" s="463">
        <v>0</v>
      </c>
      <c r="H91" s="460"/>
      <c r="I91" s="460"/>
      <c r="J91" s="460"/>
      <c r="K91" s="460"/>
      <c r="L91" s="460"/>
      <c r="M91" s="460"/>
      <c r="N91" s="460"/>
      <c r="O91" s="460"/>
      <c r="P91" s="460"/>
      <c r="Q91" s="460"/>
      <c r="R91" s="460"/>
      <c r="S91" s="460"/>
      <c r="T91" s="460"/>
      <c r="U91" s="460"/>
      <c r="V91" s="460"/>
      <c r="W91" s="460"/>
      <c r="X91" s="460"/>
      <c r="Y91" s="460"/>
      <c r="AB91" s="434" t="s">
        <v>478</v>
      </c>
      <c r="AC91" s="552">
        <f t="shared" si="59"/>
        <v>0</v>
      </c>
      <c r="AD91" s="452">
        <f t="shared" si="60"/>
        <v>0</v>
      </c>
      <c r="AE91" s="452">
        <f t="shared" si="61"/>
        <v>0</v>
      </c>
      <c r="AF91" s="452">
        <f t="shared" si="62"/>
        <v>0</v>
      </c>
      <c r="AG91" s="452">
        <f t="shared" si="63"/>
        <v>0</v>
      </c>
    </row>
    <row r="92" spans="1:34">
      <c r="A92" s="434" t="s">
        <v>479</v>
      </c>
      <c r="B92" s="452">
        <f>Y92</f>
        <v>3653878.1629614132</v>
      </c>
      <c r="C92" s="452">
        <f>M92</f>
        <v>4039.5748443914299</v>
      </c>
      <c r="D92" s="798">
        <v>5417.8947300000009</v>
      </c>
      <c r="E92" s="452">
        <f t="shared" si="65"/>
        <v>3649838.5881170216</v>
      </c>
      <c r="F92" s="567"/>
      <c r="G92" s="815">
        <v>2838.8092499999998</v>
      </c>
      <c r="H92" s="460"/>
      <c r="I92" s="460"/>
      <c r="J92" s="460"/>
      <c r="K92" s="460"/>
      <c r="L92" s="460"/>
      <c r="M92" s="731">
        <v>4039.5748443914299</v>
      </c>
      <c r="N92" s="460"/>
      <c r="O92" s="460"/>
      <c r="P92" s="460"/>
      <c r="Q92" s="460"/>
      <c r="R92" s="460"/>
      <c r="S92" s="460"/>
      <c r="T92" s="460"/>
      <c r="U92" s="460"/>
      <c r="V92" s="460"/>
      <c r="W92" s="460"/>
      <c r="X92" s="460"/>
      <c r="Y92" s="731">
        <v>3653878.1629614132</v>
      </c>
      <c r="Z92" s="488" t="s">
        <v>577</v>
      </c>
      <c r="AB92" s="434" t="s">
        <v>479</v>
      </c>
      <c r="AC92" s="553">
        <f t="shared" si="59"/>
        <v>2838.8092499999998</v>
      </c>
      <c r="AD92" s="453">
        <f t="shared" si="60"/>
        <v>1200.7655943914301</v>
      </c>
      <c r="AE92" s="453">
        <f t="shared" si="61"/>
        <v>4039.5748443914299</v>
      </c>
      <c r="AF92" s="453">
        <f t="shared" si="62"/>
        <v>3649838.5881170216</v>
      </c>
      <c r="AG92" s="453">
        <f t="shared" si="63"/>
        <v>3653878.1629614132</v>
      </c>
      <c r="AH92" s="480">
        <f t="shared" ref="AH92" si="95">M92-G92</f>
        <v>1200.7655943914301</v>
      </c>
    </row>
    <row r="93" spans="1:34">
      <c r="A93" s="434" t="s">
        <v>491</v>
      </c>
      <c r="B93" s="452">
        <f>Y93</f>
        <v>0</v>
      </c>
      <c r="C93" s="452">
        <f>M93</f>
        <v>0</v>
      </c>
      <c r="D93" s="802">
        <v>0</v>
      </c>
      <c r="E93" s="452">
        <f t="shared" si="65"/>
        <v>0</v>
      </c>
      <c r="F93" s="480">
        <f t="shared" si="89"/>
        <v>0</v>
      </c>
      <c r="G93" s="463">
        <v>0</v>
      </c>
      <c r="H93" s="460"/>
      <c r="I93" s="460"/>
      <c r="J93" s="460"/>
      <c r="K93" s="460"/>
      <c r="L93" s="460"/>
      <c r="M93" s="460"/>
      <c r="N93" s="460"/>
      <c r="O93" s="460"/>
      <c r="P93" s="460"/>
      <c r="Q93" s="460"/>
      <c r="R93" s="460"/>
      <c r="S93" s="460"/>
      <c r="T93" s="460"/>
      <c r="U93" s="460"/>
      <c r="V93" s="460"/>
      <c r="W93" s="460"/>
      <c r="X93" s="460"/>
      <c r="Y93" s="460"/>
      <c r="AB93" s="434" t="s">
        <v>491</v>
      </c>
      <c r="AC93" s="552">
        <f t="shared" si="59"/>
        <v>0</v>
      </c>
      <c r="AD93" s="452">
        <f t="shared" si="60"/>
        <v>0</v>
      </c>
      <c r="AE93" s="452">
        <f t="shared" si="61"/>
        <v>0</v>
      </c>
      <c r="AF93" s="452">
        <f t="shared" si="62"/>
        <v>0</v>
      </c>
      <c r="AG93" s="452">
        <f t="shared" si="63"/>
        <v>0</v>
      </c>
    </row>
    <row r="94" spans="1:34">
      <c r="A94" s="434" t="s">
        <v>492</v>
      </c>
      <c r="B94" s="452">
        <f>Y94</f>
        <v>22.979070000000007</v>
      </c>
      <c r="C94" s="452">
        <f>M94</f>
        <v>22.979070000000007</v>
      </c>
      <c r="D94" s="798">
        <v>92.475920000000002</v>
      </c>
      <c r="E94" s="452">
        <f t="shared" si="65"/>
        <v>0</v>
      </c>
      <c r="F94" s="567"/>
      <c r="G94" s="815">
        <v>22.979070000000007</v>
      </c>
      <c r="H94" s="823">
        <f>G94</f>
        <v>22.979070000000007</v>
      </c>
      <c r="I94" s="823">
        <f t="shared" ref="I94:Y95" si="96">H94</f>
        <v>22.979070000000007</v>
      </c>
      <c r="J94" s="823">
        <f t="shared" si="96"/>
        <v>22.979070000000007</v>
      </c>
      <c r="K94" s="823">
        <f t="shared" si="96"/>
        <v>22.979070000000007</v>
      </c>
      <c r="L94" s="823">
        <f t="shared" si="96"/>
        <v>22.979070000000007</v>
      </c>
      <c r="M94" s="823">
        <f t="shared" si="96"/>
        <v>22.979070000000007</v>
      </c>
      <c r="N94" s="823">
        <f t="shared" si="96"/>
        <v>22.979070000000007</v>
      </c>
      <c r="O94" s="823">
        <f t="shared" si="96"/>
        <v>22.979070000000007</v>
      </c>
      <c r="P94" s="823">
        <f t="shared" si="96"/>
        <v>22.979070000000007</v>
      </c>
      <c r="Q94" s="823">
        <f t="shared" si="96"/>
        <v>22.979070000000007</v>
      </c>
      <c r="R94" s="823">
        <f t="shared" si="96"/>
        <v>22.979070000000007</v>
      </c>
      <c r="S94" s="823">
        <f t="shared" si="96"/>
        <v>22.979070000000007</v>
      </c>
      <c r="T94" s="823">
        <f t="shared" si="96"/>
        <v>22.979070000000007</v>
      </c>
      <c r="U94" s="823">
        <f t="shared" si="96"/>
        <v>22.979070000000007</v>
      </c>
      <c r="V94" s="823">
        <f t="shared" si="96"/>
        <v>22.979070000000007</v>
      </c>
      <c r="W94" s="823">
        <f t="shared" si="96"/>
        <v>22.979070000000007</v>
      </c>
      <c r="X94" s="823">
        <f t="shared" si="96"/>
        <v>22.979070000000007</v>
      </c>
      <c r="Y94" s="823">
        <f t="shared" si="96"/>
        <v>22.979070000000007</v>
      </c>
      <c r="Z94" s="488" t="s">
        <v>577</v>
      </c>
      <c r="AB94" s="434" t="s">
        <v>492</v>
      </c>
      <c r="AC94" s="552">
        <f t="shared" si="59"/>
        <v>22.979070000000007</v>
      </c>
      <c r="AD94" s="452">
        <f t="shared" si="60"/>
        <v>0</v>
      </c>
      <c r="AE94" s="452">
        <f t="shared" si="61"/>
        <v>22.979070000000007</v>
      </c>
      <c r="AF94" s="452">
        <f t="shared" si="62"/>
        <v>0</v>
      </c>
      <c r="AG94" s="452">
        <f t="shared" si="63"/>
        <v>22.979070000000007</v>
      </c>
      <c r="AH94" s="480">
        <f t="shared" ref="AH94" si="97">M94-G94</f>
        <v>0</v>
      </c>
    </row>
    <row r="95" spans="1:34">
      <c r="A95" s="437" t="s">
        <v>493</v>
      </c>
      <c r="B95" s="439">
        <f>Y95</f>
        <v>473.61591999999996</v>
      </c>
      <c r="C95" s="439">
        <f>M95</f>
        <v>473.61591999999996</v>
      </c>
      <c r="D95" s="810">
        <v>166.15571</v>
      </c>
      <c r="E95" s="439">
        <f t="shared" si="65"/>
        <v>0</v>
      </c>
      <c r="F95" s="480">
        <f t="shared" si="89"/>
        <v>307.46020999999996</v>
      </c>
      <c r="G95" s="817">
        <v>473.61591999999996</v>
      </c>
      <c r="H95" s="823">
        <f>G95</f>
        <v>473.61591999999996</v>
      </c>
      <c r="I95" s="823">
        <f t="shared" si="96"/>
        <v>473.61591999999996</v>
      </c>
      <c r="J95" s="823">
        <f t="shared" si="96"/>
        <v>473.61591999999996</v>
      </c>
      <c r="K95" s="823">
        <f t="shared" si="96"/>
        <v>473.61591999999996</v>
      </c>
      <c r="L95" s="823">
        <f t="shared" si="96"/>
        <v>473.61591999999996</v>
      </c>
      <c r="M95" s="823">
        <f t="shared" si="96"/>
        <v>473.61591999999996</v>
      </c>
      <c r="N95" s="823">
        <f t="shared" si="96"/>
        <v>473.61591999999996</v>
      </c>
      <c r="O95" s="823">
        <f t="shared" si="96"/>
        <v>473.61591999999996</v>
      </c>
      <c r="P95" s="823">
        <f t="shared" si="96"/>
        <v>473.61591999999996</v>
      </c>
      <c r="Q95" s="823">
        <f t="shared" si="96"/>
        <v>473.61591999999996</v>
      </c>
      <c r="R95" s="823">
        <f t="shared" si="96"/>
        <v>473.61591999999996</v>
      </c>
      <c r="S95" s="823">
        <f t="shared" si="96"/>
        <v>473.61591999999996</v>
      </c>
      <c r="T95" s="823">
        <f t="shared" si="96"/>
        <v>473.61591999999996</v>
      </c>
      <c r="U95" s="823">
        <f t="shared" si="96"/>
        <v>473.61591999999996</v>
      </c>
      <c r="V95" s="823">
        <f t="shared" si="96"/>
        <v>473.61591999999996</v>
      </c>
      <c r="W95" s="823">
        <f t="shared" si="96"/>
        <v>473.61591999999996</v>
      </c>
      <c r="X95" s="823">
        <f t="shared" si="96"/>
        <v>473.61591999999996</v>
      </c>
      <c r="Y95" s="823">
        <f t="shared" si="96"/>
        <v>473.61591999999996</v>
      </c>
      <c r="Z95" s="488" t="s">
        <v>577</v>
      </c>
      <c r="AB95" s="437" t="s">
        <v>493</v>
      </c>
      <c r="AC95" s="478">
        <f t="shared" si="59"/>
        <v>473.61591999999996</v>
      </c>
      <c r="AD95" s="439">
        <f t="shared" si="60"/>
        <v>0</v>
      </c>
      <c r="AE95" s="439">
        <f t="shared" si="61"/>
        <v>473.61591999999996</v>
      </c>
      <c r="AF95" s="439">
        <f t="shared" si="62"/>
        <v>0</v>
      </c>
      <c r="AG95" s="439">
        <f t="shared" si="63"/>
        <v>473.61591999999996</v>
      </c>
    </row>
    <row r="96" spans="1:34">
      <c r="A96" s="437" t="s">
        <v>494</v>
      </c>
      <c r="B96" s="438">
        <f>SUM(B97:B98)</f>
        <v>8209.1121700000022</v>
      </c>
      <c r="C96" s="438">
        <f>SUM(C97:C98)</f>
        <v>8209.1121700000022</v>
      </c>
      <c r="D96" s="792">
        <f>SUM(D97:D98)</f>
        <v>10718.047299999998</v>
      </c>
      <c r="E96" s="438">
        <f t="shared" si="65"/>
        <v>0</v>
      </c>
      <c r="F96" s="567"/>
      <c r="G96" s="475">
        <f>SUM(G97:G98)</f>
        <v>8209.1121700000022</v>
      </c>
      <c r="H96" s="475">
        <f t="shared" ref="H96:J96" si="98">SUM(H97:H98)</f>
        <v>8209.1121700000022</v>
      </c>
      <c r="I96" s="475">
        <f t="shared" si="98"/>
        <v>8209.1121700000022</v>
      </c>
      <c r="J96" s="475">
        <f t="shared" si="98"/>
        <v>8209.1121700000022</v>
      </c>
      <c r="K96" s="475">
        <f t="shared" ref="K96:Y96" si="99">SUM(K97:K98)</f>
        <v>8209.1121700000022</v>
      </c>
      <c r="L96" s="475">
        <f t="shared" si="99"/>
        <v>8209.1121700000022</v>
      </c>
      <c r="M96" s="475">
        <f t="shared" si="99"/>
        <v>8209.1121700000022</v>
      </c>
      <c r="N96" s="475">
        <f t="shared" si="99"/>
        <v>8209.1121700000022</v>
      </c>
      <c r="O96" s="475">
        <f t="shared" si="99"/>
        <v>8209.1121700000022</v>
      </c>
      <c r="P96" s="475">
        <f t="shared" si="99"/>
        <v>8209.1121700000022</v>
      </c>
      <c r="Q96" s="475">
        <f t="shared" si="99"/>
        <v>8209.1121700000022</v>
      </c>
      <c r="R96" s="475">
        <f t="shared" si="99"/>
        <v>8209.1121700000022</v>
      </c>
      <c r="S96" s="475">
        <f t="shared" si="99"/>
        <v>8209.1121700000022</v>
      </c>
      <c r="T96" s="475">
        <f t="shared" si="99"/>
        <v>8209.1121700000022</v>
      </c>
      <c r="U96" s="475">
        <f t="shared" si="99"/>
        <v>8209.1121700000022</v>
      </c>
      <c r="V96" s="475">
        <f t="shared" si="99"/>
        <v>8209.1121700000022</v>
      </c>
      <c r="W96" s="475">
        <f t="shared" si="99"/>
        <v>8209.1121700000022</v>
      </c>
      <c r="X96" s="475">
        <f t="shared" si="99"/>
        <v>8209.1121700000022</v>
      </c>
      <c r="Y96" s="475">
        <f t="shared" si="99"/>
        <v>8209.1121700000022</v>
      </c>
      <c r="AB96" s="437" t="s">
        <v>494</v>
      </c>
      <c r="AC96" s="475">
        <f t="shared" si="59"/>
        <v>8209.1121700000022</v>
      </c>
      <c r="AD96" s="438">
        <f t="shared" si="60"/>
        <v>0</v>
      </c>
      <c r="AE96" s="438">
        <f t="shared" si="61"/>
        <v>8209.1121700000022</v>
      </c>
      <c r="AF96" s="438">
        <f t="shared" si="62"/>
        <v>0</v>
      </c>
      <c r="AG96" s="438">
        <f t="shared" si="63"/>
        <v>8209.1121700000022</v>
      </c>
      <c r="AH96" s="480">
        <f t="shared" ref="AH96:AH99" si="100">M96-G96</f>
        <v>0</v>
      </c>
    </row>
    <row r="97" spans="1:34">
      <c r="A97" s="434" t="s">
        <v>495</v>
      </c>
      <c r="B97" s="452">
        <f>Y97</f>
        <v>808.69888000000003</v>
      </c>
      <c r="C97" s="452">
        <f>M97</f>
        <v>808.69888000000003</v>
      </c>
      <c r="D97" s="798">
        <v>449.73021999999997</v>
      </c>
      <c r="E97" s="452">
        <f t="shared" si="65"/>
        <v>0</v>
      </c>
      <c r="F97" s="567"/>
      <c r="G97" s="815">
        <v>808.69888000000003</v>
      </c>
      <c r="H97" s="823">
        <f t="shared" ref="H97:Y97" si="101">G97</f>
        <v>808.69888000000003</v>
      </c>
      <c r="I97" s="823">
        <f t="shared" si="101"/>
        <v>808.69888000000003</v>
      </c>
      <c r="J97" s="823">
        <f t="shared" si="101"/>
        <v>808.69888000000003</v>
      </c>
      <c r="K97" s="823">
        <f t="shared" si="101"/>
        <v>808.69888000000003</v>
      </c>
      <c r="L97" s="823">
        <f t="shared" si="101"/>
        <v>808.69888000000003</v>
      </c>
      <c r="M97" s="823">
        <f t="shared" si="101"/>
        <v>808.69888000000003</v>
      </c>
      <c r="N97" s="823">
        <f t="shared" si="101"/>
        <v>808.69888000000003</v>
      </c>
      <c r="O97" s="823">
        <f t="shared" si="101"/>
        <v>808.69888000000003</v>
      </c>
      <c r="P97" s="823">
        <f t="shared" si="101"/>
        <v>808.69888000000003</v>
      </c>
      <c r="Q97" s="823">
        <f t="shared" si="101"/>
        <v>808.69888000000003</v>
      </c>
      <c r="R97" s="823">
        <f t="shared" si="101"/>
        <v>808.69888000000003</v>
      </c>
      <c r="S97" s="823">
        <f t="shared" si="101"/>
        <v>808.69888000000003</v>
      </c>
      <c r="T97" s="823">
        <f t="shared" si="101"/>
        <v>808.69888000000003</v>
      </c>
      <c r="U97" s="823">
        <f t="shared" si="101"/>
        <v>808.69888000000003</v>
      </c>
      <c r="V97" s="823">
        <f t="shared" si="101"/>
        <v>808.69888000000003</v>
      </c>
      <c r="W97" s="823">
        <f t="shared" si="101"/>
        <v>808.69888000000003</v>
      </c>
      <c r="X97" s="823">
        <f t="shared" si="101"/>
        <v>808.69888000000003</v>
      </c>
      <c r="Y97" s="823">
        <f t="shared" si="101"/>
        <v>808.69888000000003</v>
      </c>
      <c r="Z97" s="488" t="s">
        <v>577</v>
      </c>
      <c r="AB97" s="434" t="s">
        <v>495</v>
      </c>
      <c r="AC97" s="552">
        <f t="shared" si="59"/>
        <v>808.69888000000003</v>
      </c>
      <c r="AD97" s="452">
        <f t="shared" si="60"/>
        <v>0</v>
      </c>
      <c r="AE97" s="452">
        <f t="shared" si="61"/>
        <v>808.69888000000003</v>
      </c>
      <c r="AF97" s="452">
        <f t="shared" si="62"/>
        <v>0</v>
      </c>
      <c r="AG97" s="452">
        <f t="shared" si="63"/>
        <v>808.69888000000003</v>
      </c>
      <c r="AH97" s="480">
        <f t="shared" si="100"/>
        <v>0</v>
      </c>
    </row>
    <row r="98" spans="1:34">
      <c r="A98" s="434" t="s">
        <v>496</v>
      </c>
      <c r="B98" s="452">
        <f>Y98</f>
        <v>7400.4132900000013</v>
      </c>
      <c r="C98" s="452">
        <f>M98</f>
        <v>7400.4132900000013</v>
      </c>
      <c r="D98" s="798">
        <v>10268.317079999999</v>
      </c>
      <c r="E98" s="452">
        <f t="shared" si="65"/>
        <v>0</v>
      </c>
      <c r="F98" s="567"/>
      <c r="G98" s="815">
        <v>7400.4132900000013</v>
      </c>
      <c r="H98" s="823">
        <f t="shared" ref="H98:Y98" si="102">G98</f>
        <v>7400.4132900000013</v>
      </c>
      <c r="I98" s="823">
        <f t="shared" si="102"/>
        <v>7400.4132900000013</v>
      </c>
      <c r="J98" s="823">
        <f t="shared" si="102"/>
        <v>7400.4132900000013</v>
      </c>
      <c r="K98" s="823">
        <f t="shared" si="102"/>
        <v>7400.4132900000013</v>
      </c>
      <c r="L98" s="823">
        <f t="shared" si="102"/>
        <v>7400.4132900000013</v>
      </c>
      <c r="M98" s="823">
        <f t="shared" si="102"/>
        <v>7400.4132900000013</v>
      </c>
      <c r="N98" s="823">
        <f t="shared" si="102"/>
        <v>7400.4132900000013</v>
      </c>
      <c r="O98" s="823">
        <f t="shared" si="102"/>
        <v>7400.4132900000013</v>
      </c>
      <c r="P98" s="823">
        <f t="shared" si="102"/>
        <v>7400.4132900000013</v>
      </c>
      <c r="Q98" s="823">
        <f t="shared" si="102"/>
        <v>7400.4132900000013</v>
      </c>
      <c r="R98" s="823">
        <f t="shared" si="102"/>
        <v>7400.4132900000013</v>
      </c>
      <c r="S98" s="823">
        <f t="shared" si="102"/>
        <v>7400.4132900000013</v>
      </c>
      <c r="T98" s="823">
        <f t="shared" si="102"/>
        <v>7400.4132900000013</v>
      </c>
      <c r="U98" s="823">
        <f t="shared" si="102"/>
        <v>7400.4132900000013</v>
      </c>
      <c r="V98" s="823">
        <f t="shared" si="102"/>
        <v>7400.4132900000013</v>
      </c>
      <c r="W98" s="823">
        <f t="shared" si="102"/>
        <v>7400.4132900000013</v>
      </c>
      <c r="X98" s="823">
        <f t="shared" si="102"/>
        <v>7400.4132900000013</v>
      </c>
      <c r="Y98" s="823">
        <f t="shared" si="102"/>
        <v>7400.4132900000013</v>
      </c>
      <c r="Z98" s="488" t="s">
        <v>577</v>
      </c>
      <c r="AB98" s="434" t="s">
        <v>496</v>
      </c>
      <c r="AC98" s="552">
        <f t="shared" si="59"/>
        <v>7400.4132900000013</v>
      </c>
      <c r="AD98" s="452">
        <f t="shared" si="60"/>
        <v>0</v>
      </c>
      <c r="AE98" s="452">
        <f t="shared" si="61"/>
        <v>7400.4132900000013</v>
      </c>
      <c r="AF98" s="452">
        <f t="shared" si="62"/>
        <v>0</v>
      </c>
      <c r="AG98" s="452">
        <f t="shared" si="63"/>
        <v>7400.4132900000013</v>
      </c>
      <c r="AH98" s="480">
        <f t="shared" si="100"/>
        <v>0</v>
      </c>
    </row>
    <row r="99" spans="1:34">
      <c r="A99" s="437" t="s">
        <v>497</v>
      </c>
      <c r="B99" s="439">
        <f>Y99</f>
        <v>1705.49152</v>
      </c>
      <c r="C99" s="439">
        <f>M99</f>
        <v>1705.49152</v>
      </c>
      <c r="D99" s="810">
        <v>1594.02108</v>
      </c>
      <c r="E99" s="439">
        <f t="shared" si="65"/>
        <v>0</v>
      </c>
      <c r="F99" s="567"/>
      <c r="G99" s="817">
        <v>1705.49152</v>
      </c>
      <c r="H99" s="823">
        <f t="shared" ref="H99:Y99" si="103">G99</f>
        <v>1705.49152</v>
      </c>
      <c r="I99" s="823">
        <f t="shared" si="103"/>
        <v>1705.49152</v>
      </c>
      <c r="J99" s="823">
        <f t="shared" si="103"/>
        <v>1705.49152</v>
      </c>
      <c r="K99" s="823">
        <f t="shared" si="103"/>
        <v>1705.49152</v>
      </c>
      <c r="L99" s="823">
        <f t="shared" si="103"/>
        <v>1705.49152</v>
      </c>
      <c r="M99" s="823">
        <f t="shared" si="103"/>
        <v>1705.49152</v>
      </c>
      <c r="N99" s="823">
        <f t="shared" si="103"/>
        <v>1705.49152</v>
      </c>
      <c r="O99" s="823">
        <f t="shared" si="103"/>
        <v>1705.49152</v>
      </c>
      <c r="P99" s="823">
        <f t="shared" si="103"/>
        <v>1705.49152</v>
      </c>
      <c r="Q99" s="823">
        <f t="shared" si="103"/>
        <v>1705.49152</v>
      </c>
      <c r="R99" s="823">
        <f t="shared" si="103"/>
        <v>1705.49152</v>
      </c>
      <c r="S99" s="823">
        <f t="shared" si="103"/>
        <v>1705.49152</v>
      </c>
      <c r="T99" s="823">
        <f t="shared" si="103"/>
        <v>1705.49152</v>
      </c>
      <c r="U99" s="823">
        <f t="shared" si="103"/>
        <v>1705.49152</v>
      </c>
      <c r="V99" s="823">
        <f t="shared" si="103"/>
        <v>1705.49152</v>
      </c>
      <c r="W99" s="823">
        <f t="shared" si="103"/>
        <v>1705.49152</v>
      </c>
      <c r="X99" s="823">
        <f t="shared" si="103"/>
        <v>1705.49152</v>
      </c>
      <c r="Y99" s="823">
        <f t="shared" si="103"/>
        <v>1705.49152</v>
      </c>
      <c r="Z99" s="488" t="s">
        <v>577</v>
      </c>
      <c r="AB99" s="437" t="s">
        <v>497</v>
      </c>
      <c r="AC99" s="478">
        <f t="shared" si="59"/>
        <v>1705.49152</v>
      </c>
      <c r="AD99" s="439">
        <f t="shared" si="60"/>
        <v>0</v>
      </c>
      <c r="AE99" s="439">
        <f t="shared" si="61"/>
        <v>1705.49152</v>
      </c>
      <c r="AF99" s="439">
        <f t="shared" si="62"/>
        <v>0</v>
      </c>
      <c r="AG99" s="439">
        <f t="shared" si="63"/>
        <v>1705.49152</v>
      </c>
      <c r="AH99" s="480">
        <f t="shared" si="100"/>
        <v>0</v>
      </c>
    </row>
    <row r="100" spans="1:34" ht="15.75" thickBot="1">
      <c r="A100" s="440" t="s">
        <v>498</v>
      </c>
      <c r="B100" s="441">
        <f>Y100</f>
        <v>0</v>
      </c>
      <c r="C100" s="441">
        <f>M100</f>
        <v>0</v>
      </c>
      <c r="D100" s="736"/>
      <c r="E100" s="441">
        <f t="shared" si="65"/>
        <v>0</v>
      </c>
      <c r="F100" s="480">
        <f t="shared" ref="F100" si="104">C100-D100</f>
        <v>0</v>
      </c>
      <c r="G100" s="465">
        <v>0</v>
      </c>
      <c r="H100" s="460"/>
      <c r="I100" s="460"/>
      <c r="J100" s="460"/>
      <c r="K100" s="460"/>
      <c r="L100" s="460"/>
      <c r="M100" s="460"/>
      <c r="N100" s="460"/>
      <c r="O100" s="460"/>
      <c r="P100" s="460"/>
      <c r="Q100" s="460"/>
      <c r="R100" s="460"/>
      <c r="S100" s="460"/>
      <c r="T100" s="460"/>
      <c r="U100" s="460"/>
      <c r="V100" s="460"/>
      <c r="W100" s="460"/>
      <c r="X100" s="460"/>
      <c r="Y100" s="460"/>
      <c r="AB100" s="440" t="s">
        <v>498</v>
      </c>
      <c r="AC100" s="547">
        <f t="shared" si="59"/>
        <v>0</v>
      </c>
      <c r="AD100" s="441">
        <f t="shared" si="60"/>
        <v>0</v>
      </c>
      <c r="AE100" s="441">
        <f t="shared" si="61"/>
        <v>0</v>
      </c>
      <c r="AF100" s="441">
        <f t="shared" si="62"/>
        <v>0</v>
      </c>
      <c r="AG100" s="441">
        <f t="shared" si="63"/>
        <v>0</v>
      </c>
    </row>
    <row r="101" spans="1:34" ht="19.5" thickBot="1">
      <c r="A101" s="455" t="s">
        <v>499</v>
      </c>
      <c r="B101" s="449" t="e">
        <f>B56+B69+B84</f>
        <v>#REF!</v>
      </c>
      <c r="C101" s="449" t="e">
        <f>C56+C69+C84</f>
        <v>#REF!</v>
      </c>
      <c r="D101" s="793">
        <f>D56+D69+D84</f>
        <v>88282.797760000016</v>
      </c>
      <c r="E101" s="449" t="e">
        <f t="shared" si="65"/>
        <v>#REF!</v>
      </c>
      <c r="F101" s="567"/>
      <c r="G101" s="477">
        <f>G56+G69+G84</f>
        <v>86663.077570000009</v>
      </c>
      <c r="H101" s="477">
        <f t="shared" ref="H101:J101" si="105">H56+H69+H84</f>
        <v>26098.887990000003</v>
      </c>
      <c r="I101" s="477">
        <f t="shared" si="105"/>
        <v>26098.887990000003</v>
      </c>
      <c r="J101" s="477">
        <f t="shared" si="105"/>
        <v>26098.887990000003</v>
      </c>
      <c r="K101" s="477">
        <f t="shared" ref="K101:Y101" si="106">K56+K69+K84</f>
        <v>26098.887990000003</v>
      </c>
      <c r="L101" s="477">
        <f t="shared" si="106"/>
        <v>26098.887990000003</v>
      </c>
      <c r="M101" s="477" t="e">
        <f t="shared" si="106"/>
        <v>#REF!</v>
      </c>
      <c r="N101" s="477">
        <f t="shared" si="106"/>
        <v>26098.887990000003</v>
      </c>
      <c r="O101" s="477">
        <f t="shared" si="106"/>
        <v>26098.887990000003</v>
      </c>
      <c r="P101" s="477">
        <f t="shared" si="106"/>
        <v>36705.534944730563</v>
      </c>
      <c r="Q101" s="477">
        <f t="shared" si="106"/>
        <v>26098.887990000003</v>
      </c>
      <c r="R101" s="477">
        <f t="shared" si="106"/>
        <v>26098.887990000003</v>
      </c>
      <c r="S101" s="477">
        <f t="shared" si="106"/>
        <v>26098.887990000003</v>
      </c>
      <c r="T101" s="477">
        <f t="shared" si="106"/>
        <v>26098.887990000003</v>
      </c>
      <c r="U101" s="477">
        <f t="shared" si="106"/>
        <v>26098.887990000003</v>
      </c>
      <c r="V101" s="477">
        <f t="shared" si="106"/>
        <v>26098.887990000003</v>
      </c>
      <c r="W101" s="477">
        <f t="shared" si="106"/>
        <v>26098.887990000003</v>
      </c>
      <c r="X101" s="477">
        <f t="shared" si="106"/>
        <v>26098.887990000003</v>
      </c>
      <c r="Y101" s="477" t="e">
        <f t="shared" si="106"/>
        <v>#REF!</v>
      </c>
      <c r="AB101" s="455" t="s">
        <v>499</v>
      </c>
      <c r="AC101" s="477">
        <f t="shared" si="59"/>
        <v>86663.077570000009</v>
      </c>
      <c r="AD101" s="449" t="e">
        <f t="shared" si="60"/>
        <v>#REF!</v>
      </c>
      <c r="AE101" s="449" t="e">
        <f t="shared" si="61"/>
        <v>#REF!</v>
      </c>
      <c r="AF101" s="449" t="e">
        <f t="shared" si="62"/>
        <v>#REF!</v>
      </c>
      <c r="AG101" s="449" t="e">
        <f t="shared" si="63"/>
        <v>#REF!</v>
      </c>
      <c r="AH101" s="480" t="e">
        <f t="shared" ref="AH101" si="107">M101-G101</f>
        <v>#REF!</v>
      </c>
    </row>
    <row r="102" spans="1:34" s="456" customFormat="1">
      <c r="B102" s="724" t="e">
        <f>B101-B45</f>
        <v>#REF!</v>
      </c>
      <c r="C102" s="544" t="e">
        <f>C101-C45</f>
        <v>#REF!</v>
      </c>
      <c r="D102" s="544">
        <f>D101-D45</f>
        <v>0</v>
      </c>
      <c r="E102" s="724"/>
      <c r="F102" s="732"/>
      <c r="G102" s="819">
        <f>G101-G45</f>
        <v>-9.1209999998682179E-2</v>
      </c>
      <c r="H102" s="724"/>
      <c r="I102" s="724"/>
      <c r="J102" s="724"/>
      <c r="K102" s="724"/>
      <c r="M102" s="544" t="e">
        <f>M101-M45</f>
        <v>#REF!</v>
      </c>
      <c r="N102" s="805"/>
      <c r="O102" s="805"/>
      <c r="P102" s="805"/>
      <c r="Q102" s="805"/>
      <c r="R102" s="805"/>
      <c r="S102" s="805"/>
      <c r="T102" s="805"/>
      <c r="U102" s="805"/>
      <c r="V102" s="805"/>
      <c r="W102" s="805"/>
      <c r="X102" s="805"/>
      <c r="Y102" s="805" t="e">
        <f>Y101-Y45</f>
        <v>#REF!</v>
      </c>
      <c r="AC102" s="544"/>
      <c r="AD102" s="544"/>
      <c r="AE102" s="544"/>
      <c r="AF102" s="544"/>
      <c r="AG102" s="544"/>
    </row>
    <row r="103" spans="1:34" s="456" customFormat="1">
      <c r="D103" s="738"/>
      <c r="E103" s="456">
        <v>1000</v>
      </c>
      <c r="J103" s="458"/>
      <c r="M103" s="458"/>
      <c r="Y103" s="458"/>
    </row>
    <row r="104" spans="1:34" s="456" customFormat="1">
      <c r="A104" s="437" t="s">
        <v>571</v>
      </c>
      <c r="B104" s="439" t="e">
        <f>B74+B90+B95+B79-B44-B42</f>
        <v>#REF!</v>
      </c>
      <c r="C104" s="439">
        <f>C74+C90+C95+C79-C44-C42</f>
        <v>9638.9452526775858</v>
      </c>
      <c r="D104" s="739"/>
      <c r="E104" s="572"/>
      <c r="J104" s="458"/>
      <c r="M104" s="458"/>
      <c r="Y104" s="458"/>
    </row>
    <row r="105" spans="1:34" s="456" customFormat="1">
      <c r="A105" s="437" t="s">
        <v>572</v>
      </c>
      <c r="B105" s="439" t="e">
        <f>'3. P y G PRESENTACION'!#REF!</f>
        <v>#REF!</v>
      </c>
      <c r="C105" s="439" t="e">
        <f>'3. P y G PRESENTACION'!#REF!</f>
        <v>#REF!</v>
      </c>
      <c r="D105" s="739"/>
      <c r="E105" s="572"/>
      <c r="J105" s="458"/>
      <c r="M105" s="458"/>
      <c r="Y105" s="458"/>
    </row>
    <row r="106" spans="1:34" s="456" customFormat="1">
      <c r="A106" s="437" t="s">
        <v>569</v>
      </c>
      <c r="B106" s="439" t="e">
        <f>B104/B56</f>
        <v>#REF!</v>
      </c>
      <c r="C106" s="439" t="e">
        <f>C104/C56</f>
        <v>#REF!</v>
      </c>
      <c r="D106" s="739"/>
      <c r="E106" s="572"/>
      <c r="J106" s="458"/>
      <c r="M106" s="458"/>
      <c r="Y106" s="458"/>
    </row>
    <row r="107" spans="1:34" s="456" customFormat="1">
      <c r="A107" s="437" t="s">
        <v>570</v>
      </c>
      <c r="B107" s="439" t="e">
        <f>B104/B105</f>
        <v>#REF!</v>
      </c>
      <c r="C107" s="439" t="e">
        <f>C104/C105</f>
        <v>#REF!</v>
      </c>
      <c r="D107" s="739"/>
      <c r="E107" s="572"/>
      <c r="J107" s="458"/>
      <c r="M107" s="458"/>
      <c r="Y107" s="458"/>
    </row>
    <row r="108" spans="1:34" s="456" customFormat="1">
      <c r="D108" s="738"/>
      <c r="J108" s="458"/>
      <c r="M108" s="458"/>
      <c r="Y108" s="458"/>
    </row>
    <row r="109" spans="1:34" s="456" customFormat="1" ht="15.75" thickBot="1">
      <c r="D109" s="738"/>
      <c r="J109" s="458"/>
      <c r="M109" s="458"/>
      <c r="Y109" s="458"/>
    </row>
    <row r="110" spans="1:34" s="456" customFormat="1" ht="15.75" thickBot="1">
      <c r="A110" s="467" t="s">
        <v>568</v>
      </c>
      <c r="B110" s="469" t="e">
        <f>B56*1000-23000000</f>
        <v>#REF!</v>
      </c>
      <c r="C110" s="469" t="e">
        <f>C56*1000-23000000</f>
        <v>#REF!</v>
      </c>
      <c r="D110" s="740"/>
      <c r="E110" s="486"/>
      <c r="J110" s="458"/>
      <c r="M110" s="458"/>
      <c r="Y110" s="458"/>
    </row>
    <row r="111" spans="1:34" s="456" customFormat="1" ht="15.75" thickBot="1">
      <c r="A111" s="468" t="s">
        <v>569</v>
      </c>
      <c r="B111" s="470" t="e">
        <f>4.6-B106</f>
        <v>#REF!</v>
      </c>
      <c r="C111" s="470" t="e">
        <f>4.6-C106</f>
        <v>#REF!</v>
      </c>
      <c r="D111" s="741"/>
      <c r="E111" s="487"/>
      <c r="J111" s="458"/>
      <c r="M111" s="458"/>
      <c r="Y111" s="458"/>
    </row>
    <row r="112" spans="1:34" s="456" customFormat="1" ht="15.75" thickBot="1">
      <c r="A112" s="468" t="s">
        <v>570</v>
      </c>
      <c r="B112" s="470" t="e">
        <f>15-B107</f>
        <v>#REF!</v>
      </c>
      <c r="C112" s="470" t="e">
        <f>15-C107</f>
        <v>#REF!</v>
      </c>
      <c r="D112" s="741"/>
      <c r="E112" s="487"/>
      <c r="J112" s="458"/>
      <c r="M112" s="458"/>
      <c r="Y112" s="458"/>
    </row>
    <row r="113" spans="1:26" s="456" customFormat="1">
      <c r="D113" s="738"/>
      <c r="J113" s="458"/>
      <c r="M113" s="458"/>
      <c r="Y113" s="458"/>
    </row>
    <row r="114" spans="1:26" s="456" customFormat="1">
      <c r="D114" s="738"/>
      <c r="J114" s="458"/>
      <c r="M114" s="458"/>
      <c r="Y114" s="458"/>
    </row>
    <row r="115" spans="1:26" s="456" customFormat="1">
      <c r="A115" s="458" t="s">
        <v>573</v>
      </c>
      <c r="D115" s="738"/>
      <c r="H115" s="479">
        <v>-1000</v>
      </c>
      <c r="J115" s="458"/>
      <c r="K115" s="479">
        <v>-1000</v>
      </c>
      <c r="M115" s="458"/>
      <c r="Y115" s="458"/>
    </row>
    <row r="116" spans="1:26" s="456" customFormat="1" ht="15.75" thickBot="1">
      <c r="D116" s="738"/>
      <c r="F116" s="456">
        <v>1000</v>
      </c>
    </row>
    <row r="117" spans="1:26" s="456" customFormat="1" ht="32.25" thickBot="1">
      <c r="D117" s="738"/>
      <c r="F117" s="483" t="s">
        <v>347</v>
      </c>
      <c r="G117" s="457" t="str">
        <f>G9</f>
        <v>2022 Jun</v>
      </c>
      <c r="H117" s="457" t="str">
        <f t="shared" ref="H117:Y117" si="108">H9</f>
        <v>2022 Juli</v>
      </c>
      <c r="I117" s="457" t="str">
        <f t="shared" si="108"/>
        <v>2022 Ago</v>
      </c>
      <c r="J117" s="457" t="str">
        <f t="shared" si="108"/>
        <v>2022 Sep</v>
      </c>
      <c r="K117" s="457" t="str">
        <f t="shared" si="108"/>
        <v>2022 Oct</v>
      </c>
      <c r="L117" s="457" t="str">
        <f t="shared" si="108"/>
        <v>2022 Nov</v>
      </c>
      <c r="M117" s="457" t="str">
        <f t="shared" si="108"/>
        <v>2022 Dic</v>
      </c>
      <c r="N117" s="457" t="str">
        <f t="shared" si="108"/>
        <v>2023 Ene</v>
      </c>
      <c r="O117" s="457" t="str">
        <f t="shared" si="108"/>
        <v>2023 Feb</v>
      </c>
      <c r="P117" s="457" t="str">
        <f t="shared" si="108"/>
        <v>2023 Mar</v>
      </c>
      <c r="Q117" s="457" t="str">
        <f t="shared" si="108"/>
        <v>2023 Apr</v>
      </c>
      <c r="R117" s="457" t="str">
        <f t="shared" si="108"/>
        <v>2023 May</v>
      </c>
      <c r="S117" s="457" t="str">
        <f t="shared" si="108"/>
        <v>2023 Jun</v>
      </c>
      <c r="T117" s="457" t="str">
        <f t="shared" si="108"/>
        <v>2023 Jul</v>
      </c>
      <c r="U117" s="457" t="str">
        <f t="shared" si="108"/>
        <v>2023 Ago</v>
      </c>
      <c r="V117" s="457" t="str">
        <f t="shared" si="108"/>
        <v>2023 Sep</v>
      </c>
      <c r="W117" s="457" t="str">
        <f t="shared" si="108"/>
        <v>2023 Oct</v>
      </c>
      <c r="X117" s="457" t="str">
        <f t="shared" si="108"/>
        <v>2023 Nov</v>
      </c>
      <c r="Y117" s="457" t="str">
        <f t="shared" si="108"/>
        <v>2023 Dec</v>
      </c>
    </row>
    <row r="118" spans="1:26" s="456" customFormat="1">
      <c r="D118" s="738"/>
      <c r="F118" s="481" t="s">
        <v>428</v>
      </c>
      <c r="G118" s="484" t="s">
        <v>947</v>
      </c>
      <c r="H118" s="806">
        <v>-10.476000000000001</v>
      </c>
      <c r="I118" s="806">
        <v>-10.476000000000001</v>
      </c>
      <c r="J118" s="806">
        <v>-10.476000000000001</v>
      </c>
      <c r="K118" s="718">
        <v>-10.476000000000001</v>
      </c>
      <c r="L118" s="718">
        <v>-10.476000000000001</v>
      </c>
      <c r="M118" s="718">
        <v>-10.476000000000001</v>
      </c>
      <c r="N118" s="718">
        <v>-10.476000000000001</v>
      </c>
      <c r="O118" s="718">
        <v>-10.476000000000001</v>
      </c>
      <c r="P118" s="718">
        <v>-10.476000000000001</v>
      </c>
      <c r="Q118" s="718">
        <v>-10.476000000000001</v>
      </c>
      <c r="R118" s="718">
        <v>-10.476000000000001</v>
      </c>
      <c r="S118" s="718">
        <v>-10.476000000000001</v>
      </c>
      <c r="T118" s="718">
        <v>-10.476000000000001</v>
      </c>
      <c r="U118" s="718">
        <v>-10.476000000000001</v>
      </c>
      <c r="V118" s="718">
        <v>-10.476000000000001</v>
      </c>
      <c r="W118" s="718">
        <v>-10.476000000000001</v>
      </c>
      <c r="X118" s="718">
        <v>-10.476000000000001</v>
      </c>
      <c r="Y118" s="718">
        <v>-10.476000000000001</v>
      </c>
    </row>
    <row r="119" spans="1:26" s="456" customFormat="1">
      <c r="D119" s="738"/>
      <c r="F119" s="481" t="s">
        <v>429</v>
      </c>
      <c r="G119" s="484" t="s">
        <v>947</v>
      </c>
      <c r="H119" s="806">
        <v>0</v>
      </c>
      <c r="I119" s="806">
        <v>0</v>
      </c>
      <c r="J119" s="806">
        <v>0</v>
      </c>
      <c r="K119" s="497">
        <v>0</v>
      </c>
      <c r="L119" s="497">
        <v>0</v>
      </c>
      <c r="M119" s="497">
        <v>0</v>
      </c>
      <c r="N119" s="497">
        <v>0</v>
      </c>
      <c r="O119" s="497">
        <v>0</v>
      </c>
      <c r="P119" s="497">
        <v>0</v>
      </c>
      <c r="Q119" s="497">
        <v>0</v>
      </c>
      <c r="R119" s="497">
        <v>0</v>
      </c>
      <c r="S119" s="497">
        <v>0</v>
      </c>
      <c r="T119" s="497">
        <v>0</v>
      </c>
      <c r="U119" s="497">
        <v>0</v>
      </c>
      <c r="V119" s="497">
        <v>0</v>
      </c>
      <c r="W119" s="497">
        <v>0</v>
      </c>
      <c r="X119" s="497">
        <v>0</v>
      </c>
      <c r="Y119" s="498">
        <v>0</v>
      </c>
    </row>
    <row r="120" spans="1:26" s="456" customFormat="1">
      <c r="D120" s="738"/>
      <c r="F120" s="10" t="s">
        <v>26</v>
      </c>
      <c r="G120" s="484" t="s">
        <v>947</v>
      </c>
      <c r="H120" s="806" t="e">
        <f>SUMIF(#REF!,$F120,#REF!)/1000-H118</f>
        <v>#REF!</v>
      </c>
      <c r="I120" s="806" t="e">
        <f>SUMIF(#REF!,$F120,#REF!)/1000-I118</f>
        <v>#REF!</v>
      </c>
      <c r="J120" s="806" t="e">
        <f>SUMIF(#REF!,$F120,#REF!)/1000-J118</f>
        <v>#REF!</v>
      </c>
      <c r="K120" s="717" t="e">
        <f>SUMIF(#REF!,$F120,#REF!)/1000-K118</f>
        <v>#REF!</v>
      </c>
      <c r="L120" s="717" t="e">
        <f>SUMIF(#REF!,$F120,#REF!)/1000-L118</f>
        <v>#REF!</v>
      </c>
      <c r="M120" s="717" t="e">
        <f>SUMIF(#REF!,$F120,#REF!)/1000-M118</f>
        <v>#REF!</v>
      </c>
      <c r="N120" s="717" t="e">
        <f>#REF!/1000+SUMIF(#REF!,$F120,#REF!)/12000-N118</f>
        <v>#REF!</v>
      </c>
      <c r="O120" s="717" t="e">
        <f>#REF!/1000+SUMIF(#REF!,$F120,#REF!)/12000-O118</f>
        <v>#REF!</v>
      </c>
      <c r="P120" s="717" t="e">
        <f>#REF!/1000+SUMIF(#REF!,$F120,#REF!)/12000-P118</f>
        <v>#REF!</v>
      </c>
      <c r="Q120" s="717" t="e">
        <f>#REF!/1000+SUMIF(#REF!,$F120,#REF!)/12000-Q118</f>
        <v>#REF!</v>
      </c>
      <c r="R120" s="717" t="e">
        <f>#REF!/1000+SUMIF(#REF!,$F120,#REF!)/12000-R118</f>
        <v>#REF!</v>
      </c>
      <c r="S120" s="717" t="e">
        <f>#REF!/1000+SUMIF(#REF!,$F120,#REF!)/12000-S118</f>
        <v>#REF!</v>
      </c>
      <c r="T120" s="717" t="e">
        <f>#REF!/1000+SUMIF(#REF!,$F120,#REF!)/12000-T118</f>
        <v>#REF!</v>
      </c>
      <c r="U120" s="717" t="e">
        <f>#REF!/1000+SUMIF(#REF!,$F120,#REF!)/12000-U118</f>
        <v>#REF!</v>
      </c>
      <c r="V120" s="717" t="e">
        <f>#REF!/1000+SUMIF(#REF!,$F120,#REF!)/12000-V118</f>
        <v>#REF!</v>
      </c>
      <c r="W120" s="717" t="e">
        <f>#REF!/1000+SUMIF(#REF!,$F120,#REF!)/12000-W118</f>
        <v>#REF!</v>
      </c>
      <c r="X120" s="717" t="e">
        <f>#REF!/1000+SUMIF(#REF!,$F120,#REF!)/12000-X118</f>
        <v>#REF!</v>
      </c>
      <c r="Y120" s="717" t="e">
        <f>#REF!/1000+SUMIF(#REF!,$F120,#REF!)/12000-Y118</f>
        <v>#REF!</v>
      </c>
    </row>
    <row r="121" spans="1:26" s="456" customFormat="1">
      <c r="D121" s="738"/>
      <c r="F121" s="481" t="s">
        <v>432</v>
      </c>
      <c r="G121" s="484" t="s">
        <v>947</v>
      </c>
      <c r="H121" s="806">
        <v>-21.547999999999998</v>
      </c>
      <c r="I121" s="806">
        <v>-21.547999999999998</v>
      </c>
      <c r="J121" s="806">
        <v>-21.547999999999998</v>
      </c>
      <c r="K121" s="718">
        <v>-21.547999999999998</v>
      </c>
      <c r="L121" s="718">
        <v>-21.547999999999998</v>
      </c>
      <c r="M121" s="718">
        <v>-21.547999999999998</v>
      </c>
      <c r="N121" s="718">
        <v>-21.547999999999998</v>
      </c>
      <c r="O121" s="718">
        <v>-21.547999999999998</v>
      </c>
      <c r="P121" s="718">
        <v>-21.547999999999998</v>
      </c>
      <c r="Q121" s="718">
        <v>-21.547999999999998</v>
      </c>
      <c r="R121" s="718">
        <v>-21.547999999999998</v>
      </c>
      <c r="S121" s="718">
        <v>-21.547999999999998</v>
      </c>
      <c r="T121" s="718">
        <v>-21.547999999999998</v>
      </c>
      <c r="U121" s="718">
        <v>-21.547999999999998</v>
      </c>
      <c r="V121" s="718">
        <v>-21.547999999999998</v>
      </c>
      <c r="W121" s="718">
        <v>-21.547999999999998</v>
      </c>
      <c r="X121" s="718">
        <v>-21.547999999999998</v>
      </c>
      <c r="Y121" s="718">
        <v>-21.547999999999998</v>
      </c>
    </row>
    <row r="122" spans="1:26" s="456" customFormat="1">
      <c r="D122" s="738"/>
      <c r="F122" s="481" t="s">
        <v>429</v>
      </c>
      <c r="G122" s="484" t="s">
        <v>947</v>
      </c>
      <c r="H122" s="806">
        <v>0</v>
      </c>
      <c r="I122" s="806">
        <v>0</v>
      </c>
      <c r="J122" s="807">
        <v>0</v>
      </c>
      <c r="K122" s="497">
        <v>0</v>
      </c>
      <c r="L122" s="497">
        <v>0</v>
      </c>
      <c r="M122" s="498">
        <v>0</v>
      </c>
      <c r="N122" s="497">
        <v>0</v>
      </c>
      <c r="O122" s="497">
        <v>0</v>
      </c>
      <c r="P122" s="497">
        <v>0</v>
      </c>
      <c r="Q122" s="497">
        <v>0</v>
      </c>
      <c r="R122" s="497">
        <v>0</v>
      </c>
      <c r="S122" s="497">
        <v>0</v>
      </c>
      <c r="T122" s="497">
        <v>0</v>
      </c>
      <c r="U122" s="497">
        <v>0</v>
      </c>
      <c r="V122" s="497">
        <v>0</v>
      </c>
      <c r="W122" s="497">
        <v>0</v>
      </c>
      <c r="X122" s="497">
        <v>0</v>
      </c>
      <c r="Y122" s="497">
        <v>0</v>
      </c>
    </row>
    <row r="123" spans="1:26" s="456" customFormat="1">
      <c r="D123" s="738"/>
      <c r="F123" s="10" t="s">
        <v>27</v>
      </c>
      <c r="G123" s="484" t="s">
        <v>947</v>
      </c>
      <c r="H123" s="806" t="e">
        <f>SUMIF(#REF!,$F123,#REF!)/1000-H121</f>
        <v>#REF!</v>
      </c>
      <c r="I123" s="806" t="e">
        <f>SUMIF(#REF!,$F123,#REF!)/1000-I121</f>
        <v>#REF!</v>
      </c>
      <c r="J123" s="806" t="e">
        <f>SUMIF(#REF!,$F123,#REF!)/1000-J121</f>
        <v>#REF!</v>
      </c>
      <c r="K123" s="717" t="e">
        <f>SUMIF(#REF!,$F123,#REF!)/1000-K121</f>
        <v>#REF!</v>
      </c>
      <c r="L123" s="717" t="e">
        <f>SUMIF(#REF!,$F123,#REF!)/1000-L121</f>
        <v>#REF!</v>
      </c>
      <c r="M123" s="717" t="e">
        <f>SUMIF(#REF!,$F123,#REF!)/1000-M121</f>
        <v>#REF!</v>
      </c>
      <c r="N123" s="717" t="e">
        <f>#REF!/1000+SUMIF(#REF!,$F123,#REF!)/12000-N121</f>
        <v>#REF!</v>
      </c>
      <c r="O123" s="717" t="e">
        <f>#REF!/1000+SUMIF(#REF!,$F123,#REF!)/12000-O121</f>
        <v>#REF!</v>
      </c>
      <c r="P123" s="717" t="e">
        <f>#REF!/1000+SUMIF(#REF!,$F123,#REF!)/12000-P121</f>
        <v>#REF!</v>
      </c>
      <c r="Q123" s="717" t="e">
        <f>#REF!/1000+SUMIF(#REF!,$F123,#REF!)/12000-Q121</f>
        <v>#REF!</v>
      </c>
      <c r="R123" s="717" t="e">
        <f>#REF!/1000+SUMIF(#REF!,$F123,#REF!)/12000-R121</f>
        <v>#REF!</v>
      </c>
      <c r="S123" s="717" t="e">
        <f>#REF!/1000+SUMIF(#REF!,$F123,#REF!)/12000-S121</f>
        <v>#REF!</v>
      </c>
      <c r="T123" s="717" t="e">
        <f>#REF!/1000+SUMIF(#REF!,$F123,#REF!)/12000-T121</f>
        <v>#REF!</v>
      </c>
      <c r="U123" s="717" t="e">
        <f>#REF!/1000+SUMIF(#REF!,$F123,#REF!)/12000-U121</f>
        <v>#REF!</v>
      </c>
      <c r="V123" s="717" t="e">
        <f>#REF!/1000+SUMIF(#REF!,$F123,#REF!)/12000-V121</f>
        <v>#REF!</v>
      </c>
      <c r="W123" s="717" t="e">
        <f>#REF!/1000+SUMIF(#REF!,$F123,#REF!)/12000-W121</f>
        <v>#REF!</v>
      </c>
      <c r="X123" s="717" t="e">
        <f>#REF!/1000+SUMIF(#REF!,$F123,#REF!)/12000-X121</f>
        <v>#REF!</v>
      </c>
      <c r="Y123" s="717" t="e">
        <f>#REF!/1000+SUMIF(#REF!,$F123,#REF!)/12000-Y121</f>
        <v>#REF!</v>
      </c>
      <c r="Z123" s="158" t="e">
        <f>SUM(N118:Y123)-SUM(#REF!)/1000-#REF!/1000</f>
        <v>#REF!</v>
      </c>
    </row>
    <row r="124" spans="1:26" s="456" customFormat="1">
      <c r="D124" s="738"/>
      <c r="F124" s="481" t="s">
        <v>428</v>
      </c>
      <c r="G124" s="484">
        <v>2021</v>
      </c>
      <c r="H124" s="808" t="e">
        <f>SUMIF(#REF!,$F124,#REF!)/1000</f>
        <v>#REF!</v>
      </c>
      <c r="I124" s="808" t="e">
        <f>SUMIF(#REF!,$F124,#REF!)/1000</f>
        <v>#REF!</v>
      </c>
      <c r="J124" s="808" t="e">
        <f>SUMIF(#REF!,$F124,#REF!)/1000</f>
        <v>#REF!</v>
      </c>
      <c r="K124" s="746" t="e">
        <f>SUMIF(#REF!,$F124,#REF!)/1000</f>
        <v>#REF!</v>
      </c>
      <c r="L124" s="746" t="e">
        <f>SUMIF(#REF!,$F124,#REF!)/1000</f>
        <v>#REF!</v>
      </c>
      <c r="M124" s="746" t="e">
        <f>SUMIF(#REF!,$F124,#REF!)/1000</f>
        <v>#REF!</v>
      </c>
      <c r="N124" s="482" t="e">
        <f>SUMIF(#REF!,$F124,#REF!)/1000</f>
        <v>#REF!</v>
      </c>
      <c r="O124" s="482" t="e">
        <f>SUMIF(#REF!,$F124,#REF!)/1000</f>
        <v>#REF!</v>
      </c>
      <c r="P124" s="482" t="e">
        <f>SUMIF(#REF!,$F124,#REF!)/1000</f>
        <v>#REF!</v>
      </c>
      <c r="Q124" s="482" t="e">
        <f>SUMIF(#REF!,$F124,#REF!)/1000</f>
        <v>#REF!</v>
      </c>
      <c r="R124" s="482" t="e">
        <f>SUMIF(#REF!,$F124,#REF!)/1000</f>
        <v>#REF!</v>
      </c>
      <c r="S124" s="482" t="e">
        <f>SUMIF(#REF!,$F124,#REF!)/1000</f>
        <v>#REF!</v>
      </c>
      <c r="T124" s="482" t="e">
        <f>SUMIF(#REF!,$F124,#REF!)/1000</f>
        <v>#REF!</v>
      </c>
      <c r="U124" s="482" t="e">
        <f>SUMIF(#REF!,$F124,#REF!)/1000</f>
        <v>#REF!</v>
      </c>
      <c r="V124" s="482" t="e">
        <f>SUMIF(#REF!,$F124,#REF!)/1000</f>
        <v>#REF!</v>
      </c>
      <c r="W124" s="482" t="e">
        <f>SUMIF(#REF!,$F124,#REF!)/1000</f>
        <v>#REF!</v>
      </c>
      <c r="X124" s="482" t="e">
        <f>SUMIF(#REF!,$F124,#REF!)/1000</f>
        <v>#REF!</v>
      </c>
      <c r="Y124" s="482" t="e">
        <f>SUMIF(#REF!,$F124,#REF!)/1000</f>
        <v>#REF!</v>
      </c>
    </row>
    <row r="125" spans="1:26" s="456" customFormat="1">
      <c r="D125" s="738"/>
      <c r="F125" s="481" t="s">
        <v>429</v>
      </c>
      <c r="G125" s="484">
        <v>2021</v>
      </c>
      <c r="H125" s="808" t="e">
        <f>SUMIF(#REF!,$F125,#REF!)/1000</f>
        <v>#REF!</v>
      </c>
      <c r="I125" s="808" t="e">
        <f>SUMIF(#REF!,$F125,#REF!)/1000</f>
        <v>#REF!</v>
      </c>
      <c r="J125" s="808" t="e">
        <f>SUMIF(#REF!,$F125,#REF!)/1000</f>
        <v>#REF!</v>
      </c>
      <c r="K125" s="746" t="e">
        <f>SUMIF(#REF!,$F125,#REF!)/1000</f>
        <v>#REF!</v>
      </c>
      <c r="L125" s="746" t="e">
        <f>SUMIF(#REF!,$F125,#REF!)/1000</f>
        <v>#REF!</v>
      </c>
      <c r="M125" s="746" t="e">
        <f>SUMIF(#REF!,$F125,#REF!)/1000</f>
        <v>#REF!</v>
      </c>
      <c r="N125" s="482" t="e">
        <f>SUMIF(#REF!,$F125,#REF!)/1000</f>
        <v>#REF!</v>
      </c>
      <c r="O125" s="482" t="e">
        <f>SUMIF(#REF!,$F125,#REF!)/1000</f>
        <v>#REF!</v>
      </c>
      <c r="P125" s="482" t="e">
        <f>SUMIF(#REF!,$F125,#REF!)/1000</f>
        <v>#REF!</v>
      </c>
      <c r="Q125" s="482" t="e">
        <f>SUMIF(#REF!,$F125,#REF!)/1000</f>
        <v>#REF!</v>
      </c>
      <c r="R125" s="482" t="e">
        <f>SUMIF(#REF!,$F125,#REF!)/1000</f>
        <v>#REF!</v>
      </c>
      <c r="S125" s="482" t="e">
        <f>SUMIF(#REF!,$F125,#REF!)/1000</f>
        <v>#REF!</v>
      </c>
      <c r="T125" s="482" t="e">
        <f>SUMIF(#REF!,$F125,#REF!)/1000</f>
        <v>#REF!</v>
      </c>
      <c r="U125" s="482" t="e">
        <f>SUMIF(#REF!,$F125,#REF!)/1000</f>
        <v>#REF!</v>
      </c>
      <c r="V125" s="482" t="e">
        <f>SUMIF(#REF!,$F125,#REF!)/1000</f>
        <v>#REF!</v>
      </c>
      <c r="W125" s="482" t="e">
        <f>SUMIF(#REF!,$F125,#REF!)/1000</f>
        <v>#REF!</v>
      </c>
      <c r="X125" s="482" t="e">
        <f>SUMIF(#REF!,$F125,#REF!)/1000</f>
        <v>#REF!</v>
      </c>
      <c r="Y125" s="482" t="e">
        <f>SUMIF(#REF!,$F125,#REF!)/1000</f>
        <v>#REF!</v>
      </c>
    </row>
    <row r="126" spans="1:26" s="456" customFormat="1">
      <c r="D126" s="738"/>
      <c r="F126" s="481" t="s">
        <v>430</v>
      </c>
      <c r="G126" s="484">
        <v>2021</v>
      </c>
      <c r="H126" s="808" t="e">
        <f>SUMIF(#REF!,$F126,#REF!)/1000</f>
        <v>#REF!</v>
      </c>
      <c r="I126" s="808" t="e">
        <f>SUMIF(#REF!,$F126,#REF!)/1000</f>
        <v>#REF!</v>
      </c>
      <c r="J126" s="808" t="e">
        <f>SUMIF(#REF!,$F126,#REF!)/1000</f>
        <v>#REF!</v>
      </c>
      <c r="K126" s="746" t="e">
        <f>SUMIF(#REF!,$F126,#REF!)/1000</f>
        <v>#REF!</v>
      </c>
      <c r="L126" s="746" t="e">
        <f>SUMIF(#REF!,$F126,#REF!)/1000</f>
        <v>#REF!</v>
      </c>
      <c r="M126" s="746" t="e">
        <f>SUMIF(#REF!,$F126,#REF!)/1000</f>
        <v>#REF!</v>
      </c>
      <c r="N126" s="482" t="e">
        <f>SUMIF(#REF!,$F126,#REF!)/1000</f>
        <v>#REF!</v>
      </c>
      <c r="O126" s="482" t="e">
        <f>SUMIF(#REF!,$F126,#REF!)/1000</f>
        <v>#REF!</v>
      </c>
      <c r="P126" s="482" t="e">
        <f>SUMIF(#REF!,$F126,#REF!)/1000</f>
        <v>#REF!</v>
      </c>
      <c r="Q126" s="482" t="e">
        <f>SUMIF(#REF!,$F126,#REF!)/1000</f>
        <v>#REF!</v>
      </c>
      <c r="R126" s="482" t="e">
        <f>SUMIF(#REF!,$F126,#REF!)/1000</f>
        <v>#REF!</v>
      </c>
      <c r="S126" s="482" t="e">
        <f>SUMIF(#REF!,$F126,#REF!)/1000</f>
        <v>#REF!</v>
      </c>
      <c r="T126" s="482" t="e">
        <f>SUMIF(#REF!,$F126,#REF!)/1000</f>
        <v>#REF!</v>
      </c>
      <c r="U126" s="482" t="e">
        <f>SUMIF(#REF!,$F126,#REF!)/1000</f>
        <v>#REF!</v>
      </c>
      <c r="V126" s="482" t="e">
        <f>SUMIF(#REF!,$F126,#REF!)/1000</f>
        <v>#REF!</v>
      </c>
      <c r="W126" s="482" t="e">
        <f>SUMIF(#REF!,$F126,#REF!)/1000</f>
        <v>#REF!</v>
      </c>
      <c r="X126" s="482" t="e">
        <f>SUMIF(#REF!,$F126,#REF!)/1000</f>
        <v>#REF!</v>
      </c>
      <c r="Y126" s="482" t="e">
        <f>SUMIF(#REF!,$F126,#REF!)/1000</f>
        <v>#REF!</v>
      </c>
    </row>
    <row r="127" spans="1:26" s="456" customFormat="1">
      <c r="D127" s="738"/>
      <c r="F127" s="481" t="s">
        <v>432</v>
      </c>
      <c r="G127" s="484">
        <v>2021</v>
      </c>
      <c r="H127" s="808" t="e">
        <f>SUMIF(#REF!,$F127,#REF!)/1000</f>
        <v>#REF!</v>
      </c>
      <c r="I127" s="808" t="e">
        <f>SUMIF(#REF!,$F127,#REF!)/1000</f>
        <v>#REF!</v>
      </c>
      <c r="J127" s="808" t="e">
        <f>SUMIF(#REF!,$F127,#REF!)/1000</f>
        <v>#REF!</v>
      </c>
      <c r="K127" s="746" t="e">
        <f>SUMIF(#REF!,$F127,#REF!)/1000</f>
        <v>#REF!</v>
      </c>
      <c r="L127" s="746" t="e">
        <f>SUMIF(#REF!,$F127,#REF!)/1000</f>
        <v>#REF!</v>
      </c>
      <c r="M127" s="746" t="e">
        <f>SUMIF(#REF!,$F127,#REF!)/1000</f>
        <v>#REF!</v>
      </c>
      <c r="N127" s="482" t="e">
        <f>SUMIF(#REF!,$F127,#REF!)/1000</f>
        <v>#REF!</v>
      </c>
      <c r="O127" s="482" t="e">
        <f>SUMIF(#REF!,$F127,#REF!)/1000</f>
        <v>#REF!</v>
      </c>
      <c r="P127" s="482" t="e">
        <f>SUMIF(#REF!,$F127,#REF!)/1000</f>
        <v>#REF!</v>
      </c>
      <c r="Q127" s="482" t="e">
        <f>SUMIF(#REF!,$F127,#REF!)/1000</f>
        <v>#REF!</v>
      </c>
      <c r="R127" s="482" t="e">
        <f>SUMIF(#REF!,$F127,#REF!)/1000</f>
        <v>#REF!</v>
      </c>
      <c r="S127" s="482" t="e">
        <f>SUMIF(#REF!,$F127,#REF!)/1000</f>
        <v>#REF!</v>
      </c>
      <c r="T127" s="482" t="e">
        <f>SUMIF(#REF!,$F127,#REF!)/1000</f>
        <v>#REF!</v>
      </c>
      <c r="U127" s="482" t="e">
        <f>SUMIF(#REF!,$F127,#REF!)/1000</f>
        <v>#REF!</v>
      </c>
      <c r="V127" s="482" t="e">
        <f>SUMIF(#REF!,$F127,#REF!)/1000</f>
        <v>#REF!</v>
      </c>
      <c r="W127" s="482" t="e">
        <f>SUMIF(#REF!,$F127,#REF!)/1000</f>
        <v>#REF!</v>
      </c>
      <c r="X127" s="482" t="e">
        <f>SUMIF(#REF!,$F127,#REF!)/1000</f>
        <v>#REF!</v>
      </c>
      <c r="Y127" s="482" t="e">
        <f>SUMIF(#REF!,$F127,#REF!)/1000</f>
        <v>#REF!</v>
      </c>
    </row>
    <row r="128" spans="1:26" s="456" customFormat="1">
      <c r="D128" s="738"/>
      <c r="F128" s="481" t="s">
        <v>429</v>
      </c>
      <c r="G128" s="484">
        <v>2021</v>
      </c>
      <c r="H128" s="808" t="e">
        <f>SUMIF(#REF!,$F128,#REF!)/1000</f>
        <v>#REF!</v>
      </c>
      <c r="I128" s="808" t="e">
        <f>SUMIF(#REF!,$F128,#REF!)/1000</f>
        <v>#REF!</v>
      </c>
      <c r="J128" s="808" t="e">
        <f>SUMIF(#REF!,$F128,#REF!)/1000</f>
        <v>#REF!</v>
      </c>
      <c r="K128" s="746" t="e">
        <f>SUMIF(#REF!,$F128,#REF!)/1000</f>
        <v>#REF!</v>
      </c>
      <c r="L128" s="746" t="e">
        <f>SUMIF(#REF!,$F128,#REF!)/1000</f>
        <v>#REF!</v>
      </c>
      <c r="M128" s="746" t="e">
        <f>SUMIF(#REF!,$F128,#REF!)/1000</f>
        <v>#REF!</v>
      </c>
      <c r="N128" s="482" t="e">
        <f>SUMIF(#REF!,$F128,#REF!)/1000</f>
        <v>#REF!</v>
      </c>
      <c r="O128" s="482" t="e">
        <f>SUMIF(#REF!,$F128,#REF!)/1000</f>
        <v>#REF!</v>
      </c>
      <c r="P128" s="482" t="e">
        <f>SUMIF(#REF!,$F128,#REF!)/1000</f>
        <v>#REF!</v>
      </c>
      <c r="Q128" s="482" t="e">
        <f>SUMIF(#REF!,$F128,#REF!)/1000</f>
        <v>#REF!</v>
      </c>
      <c r="R128" s="482" t="e">
        <f>SUMIF(#REF!,$F128,#REF!)/1000</f>
        <v>#REF!</v>
      </c>
      <c r="S128" s="482" t="e">
        <f>SUMIF(#REF!,$F128,#REF!)/1000</f>
        <v>#REF!</v>
      </c>
      <c r="T128" s="482" t="e">
        <f>SUMIF(#REF!,$F128,#REF!)/1000</f>
        <v>#REF!</v>
      </c>
      <c r="U128" s="482" t="e">
        <f>SUMIF(#REF!,$F128,#REF!)/1000</f>
        <v>#REF!</v>
      </c>
      <c r="V128" s="482" t="e">
        <f>SUMIF(#REF!,$F128,#REF!)/1000</f>
        <v>#REF!</v>
      </c>
      <c r="W128" s="482" t="e">
        <f>SUMIF(#REF!,$F128,#REF!)/1000</f>
        <v>#REF!</v>
      </c>
      <c r="X128" s="482" t="e">
        <f>SUMIF(#REF!,$F128,#REF!)/1000</f>
        <v>#REF!</v>
      </c>
      <c r="Y128" s="482" t="e">
        <f>SUMIF(#REF!,$F128,#REF!)/1000</f>
        <v>#REF!</v>
      </c>
    </row>
    <row r="129" spans="1:36" s="456" customFormat="1">
      <c r="D129" s="738"/>
      <c r="F129" s="481" t="s">
        <v>433</v>
      </c>
      <c r="G129" s="484">
        <v>2021</v>
      </c>
      <c r="H129" s="808" t="e">
        <f>SUMIF(#REF!,$F129,#REF!)/1000</f>
        <v>#REF!</v>
      </c>
      <c r="I129" s="808" t="e">
        <f>SUMIF(#REF!,$F129,#REF!)/1000</f>
        <v>#REF!</v>
      </c>
      <c r="J129" s="808" t="e">
        <f>SUMIF(#REF!,$F129,#REF!)/1000</f>
        <v>#REF!</v>
      </c>
      <c r="K129" s="746" t="e">
        <f>SUMIF(#REF!,$F129,#REF!)/1000</f>
        <v>#REF!</v>
      </c>
      <c r="L129" s="746" t="e">
        <f>SUMIF(#REF!,$F129,#REF!)/1000</f>
        <v>#REF!</v>
      </c>
      <c r="M129" s="746" t="e">
        <f>SUMIF(#REF!,$F129,#REF!)/1000</f>
        <v>#REF!</v>
      </c>
      <c r="N129" s="482" t="e">
        <f>SUMIF(#REF!,$F129,#REF!)/1000</f>
        <v>#REF!</v>
      </c>
      <c r="O129" s="482" t="e">
        <f>SUMIF(#REF!,$F129,#REF!)/1000</f>
        <v>#REF!</v>
      </c>
      <c r="P129" s="482" t="e">
        <f>SUMIF(#REF!,$F129,#REF!)/1000</f>
        <v>#REF!</v>
      </c>
      <c r="Q129" s="482" t="e">
        <f>SUMIF(#REF!,$F129,#REF!)/1000</f>
        <v>#REF!</v>
      </c>
      <c r="R129" s="482" t="e">
        <f>SUMIF(#REF!,$F129,#REF!)/1000</f>
        <v>#REF!</v>
      </c>
      <c r="S129" s="482" t="e">
        <f>SUMIF(#REF!,$F129,#REF!)/1000</f>
        <v>#REF!</v>
      </c>
      <c r="T129" s="482" t="e">
        <f>SUMIF(#REF!,$F129,#REF!)/1000</f>
        <v>#REF!</v>
      </c>
      <c r="U129" s="482" t="e">
        <f>SUMIF(#REF!,$F129,#REF!)/1000</f>
        <v>#REF!</v>
      </c>
      <c r="V129" s="482" t="e">
        <f>SUMIF(#REF!,$F129,#REF!)/1000</f>
        <v>#REF!</v>
      </c>
      <c r="W129" s="482" t="e">
        <f>SUMIF(#REF!,$F129,#REF!)/1000</f>
        <v>#REF!</v>
      </c>
      <c r="X129" s="482" t="e">
        <f>SUMIF(#REF!,$F129,#REF!)/1000</f>
        <v>#REF!</v>
      </c>
      <c r="Y129" s="482" t="e">
        <f>SUMIF(#REF!,$F129,#REF!)/1000</f>
        <v>#REF!</v>
      </c>
      <c r="Z129" s="158" t="e">
        <f>SUM(N124:Y129)-#REF!/1000</f>
        <v>#REF!</v>
      </c>
    </row>
    <row r="130" spans="1:36" s="456" customFormat="1">
      <c r="D130" s="738"/>
      <c r="F130" s="458" t="s">
        <v>574</v>
      </c>
      <c r="G130" s="484"/>
      <c r="H130" s="215"/>
      <c r="I130" s="215"/>
      <c r="J130" s="809"/>
      <c r="M130" s="458"/>
      <c r="Y130" s="458"/>
    </row>
    <row r="131" spans="1:36" s="456" customFormat="1">
      <c r="D131" s="738"/>
      <c r="F131" s="481" t="s">
        <v>428</v>
      </c>
      <c r="G131" s="484">
        <v>2021</v>
      </c>
      <c r="H131" s="745" t="e">
        <f>SUMIF(#REF!,$F131,#REF!)/1000</f>
        <v>#REF!</v>
      </c>
      <c r="I131" s="745" t="e">
        <f>SUMIF(#REF!,$F131,#REF!)/1000</f>
        <v>#REF!</v>
      </c>
      <c r="J131" s="745" t="e">
        <f>SUMIF(#REF!,$F131,#REF!)/1000</f>
        <v>#REF!</v>
      </c>
      <c r="K131" s="744" t="e">
        <f>SUMIF(#REF!,$F131,#REF!)/1000</f>
        <v>#REF!</v>
      </c>
      <c r="L131" s="744" t="e">
        <f>SUMIF(#REF!,$F131,#REF!)/1000</f>
        <v>#REF!</v>
      </c>
      <c r="M131" s="744" t="e">
        <f>SUMIF(#REF!,$F131,#REF!)/1000</f>
        <v>#REF!</v>
      </c>
      <c r="N131" s="482" t="e">
        <f>SUMIF(#REF!,$F131,#REF!)/1000</f>
        <v>#REF!</v>
      </c>
      <c r="O131" s="482" t="e">
        <f>SUMIF(#REF!,$F131,#REF!)/1000</f>
        <v>#REF!</v>
      </c>
      <c r="P131" s="482" t="e">
        <f>SUMIF(#REF!,$F131,#REF!)/1000</f>
        <v>#REF!</v>
      </c>
      <c r="Q131" s="482" t="e">
        <f>SUMIF(#REF!,$F131,#REF!)/1000</f>
        <v>#REF!</v>
      </c>
      <c r="R131" s="482" t="e">
        <f>SUMIF(#REF!,$F131,#REF!)/1000</f>
        <v>#REF!</v>
      </c>
      <c r="S131" s="482" t="e">
        <f>SUMIF(#REF!,$F131,#REF!)/1000</f>
        <v>#REF!</v>
      </c>
      <c r="T131" s="482" t="e">
        <f>SUMIF(#REF!,$F131,#REF!)/1000</f>
        <v>#REF!</v>
      </c>
      <c r="U131" s="482" t="e">
        <f>SUMIF(#REF!,$F131,#REF!)/1000</f>
        <v>#REF!</v>
      </c>
      <c r="V131" s="482" t="e">
        <f>SUMIF(#REF!,$F131,#REF!)/1000</f>
        <v>#REF!</v>
      </c>
      <c r="W131" s="482" t="e">
        <f>SUMIF(#REF!,$F131,#REF!)/1000</f>
        <v>#REF!</v>
      </c>
      <c r="X131" s="482" t="e">
        <f>SUMIF(#REF!,$F131,#REF!)/1000</f>
        <v>#REF!</v>
      </c>
      <c r="Y131" s="482" t="e">
        <f>SUMIF(#REF!,$F131,#REF!)/1000</f>
        <v>#REF!</v>
      </c>
    </row>
    <row r="132" spans="1:36" s="456" customFormat="1">
      <c r="D132" s="738"/>
      <c r="F132" s="481" t="s">
        <v>429</v>
      </c>
      <c r="G132" s="484">
        <v>2021</v>
      </c>
      <c r="H132" s="745" t="e">
        <f>SUMIF(#REF!,$F132,#REF!)/1000</f>
        <v>#REF!</v>
      </c>
      <c r="I132" s="745" t="e">
        <f>SUMIF(#REF!,$F132,#REF!)/1000</f>
        <v>#REF!</v>
      </c>
      <c r="J132" s="745" t="e">
        <f>SUMIF(#REF!,$F132,#REF!)/1000</f>
        <v>#REF!</v>
      </c>
      <c r="K132" s="744" t="e">
        <f>SUMIF(#REF!,$F132,#REF!)/1000</f>
        <v>#REF!</v>
      </c>
      <c r="L132" s="744" t="e">
        <f>SUMIF(#REF!,$F132,#REF!)/1000</f>
        <v>#REF!</v>
      </c>
      <c r="M132" s="744" t="e">
        <f>SUMIF(#REF!,$F132,#REF!)/1000</f>
        <v>#REF!</v>
      </c>
      <c r="N132" s="482" t="e">
        <f>SUMIF(#REF!,$F132,#REF!)/1000</f>
        <v>#REF!</v>
      </c>
      <c r="O132" s="482" t="e">
        <f>SUMIF(#REF!,$F132,#REF!)/1000</f>
        <v>#REF!</v>
      </c>
      <c r="P132" s="482" t="e">
        <f>SUMIF(#REF!,$F132,#REF!)/1000</f>
        <v>#REF!</v>
      </c>
      <c r="Q132" s="482" t="e">
        <f>SUMIF(#REF!,$F132,#REF!)/1000</f>
        <v>#REF!</v>
      </c>
      <c r="R132" s="482" t="e">
        <f>SUMIF(#REF!,$F132,#REF!)/1000</f>
        <v>#REF!</v>
      </c>
      <c r="S132" s="482" t="e">
        <f>SUMIF(#REF!,$F132,#REF!)/1000</f>
        <v>#REF!</v>
      </c>
      <c r="T132" s="482" t="e">
        <f>SUMIF(#REF!,$F132,#REF!)/1000</f>
        <v>#REF!</v>
      </c>
      <c r="U132" s="482" t="e">
        <f>SUMIF(#REF!,$F132,#REF!)/1000</f>
        <v>#REF!</v>
      </c>
      <c r="V132" s="482" t="e">
        <f>SUMIF(#REF!,$F132,#REF!)/1000</f>
        <v>#REF!</v>
      </c>
      <c r="W132" s="482" t="e">
        <f>SUMIF(#REF!,$F132,#REF!)/1000</f>
        <v>#REF!</v>
      </c>
      <c r="X132" s="482" t="e">
        <f>SUMIF(#REF!,$F132,#REF!)/1000</f>
        <v>#REF!</v>
      </c>
      <c r="Y132" s="561" t="e">
        <f>#REF!/1000</f>
        <v>#REF!</v>
      </c>
    </row>
    <row r="133" spans="1:36" s="456" customFormat="1">
      <c r="D133" s="738"/>
      <c r="E133" s="10" t="s">
        <v>26</v>
      </c>
      <c r="F133" s="10" t="s">
        <v>26</v>
      </c>
      <c r="G133" s="484">
        <v>2021</v>
      </c>
      <c r="H133" s="745" t="e">
        <f>SUMIF(#REF!,$F133,#REF!)/1000</f>
        <v>#REF!</v>
      </c>
      <c r="I133" s="745" t="e">
        <f>SUMIF(#REF!,$F133,#REF!)/1000</f>
        <v>#REF!</v>
      </c>
      <c r="J133" s="745" t="e">
        <f>SUMIF(#REF!,$F133,#REF!)/1000</f>
        <v>#REF!</v>
      </c>
      <c r="K133" s="744" t="e">
        <f>SUMIF(#REF!,$F133,#REF!)/1000</f>
        <v>#REF!</v>
      </c>
      <c r="L133" s="744" t="e">
        <f>SUMIF(#REF!,$F133,#REF!)/1000</f>
        <v>#REF!</v>
      </c>
      <c r="M133" s="744" t="e">
        <f>SUMIF(#REF!,$F133,#REF!)/1000</f>
        <v>#REF!</v>
      </c>
      <c r="N133" s="482" t="e">
        <f>SUMIF(#REF!,$F133,#REF!)/1000</f>
        <v>#REF!</v>
      </c>
      <c r="O133" s="482" t="e">
        <f>SUMIF(#REF!,$F133,#REF!)/1000</f>
        <v>#REF!</v>
      </c>
      <c r="P133" s="482" t="e">
        <f>SUMIF(#REF!,$F133,#REF!)/1000</f>
        <v>#REF!</v>
      </c>
      <c r="Q133" s="482" t="e">
        <f>SUMIF(#REF!,$F133,#REF!)/1000</f>
        <v>#REF!</v>
      </c>
      <c r="R133" s="482" t="e">
        <f>SUMIF(#REF!,$F133,#REF!)/1000</f>
        <v>#REF!</v>
      </c>
      <c r="S133" s="482" t="e">
        <f>SUMIF(#REF!,$F133,#REF!)/1000</f>
        <v>#REF!</v>
      </c>
      <c r="T133" s="482" t="e">
        <f>SUMIF(#REF!,$F133,#REF!)/1000</f>
        <v>#REF!</v>
      </c>
      <c r="U133" s="482" t="e">
        <f>SUMIF(#REF!,$F133,#REF!)/1000</f>
        <v>#REF!</v>
      </c>
      <c r="V133" s="482" t="e">
        <f>SUMIF(#REF!,$F133,#REF!)/1000</f>
        <v>#REF!</v>
      </c>
      <c r="W133" s="482" t="e">
        <f>SUMIF(#REF!,$F133,#REF!)/1000</f>
        <v>#REF!</v>
      </c>
      <c r="X133" s="482" t="e">
        <f>SUMIF(#REF!,$F133,#REF!)/1000</f>
        <v>#REF!</v>
      </c>
      <c r="Y133" s="482" t="e">
        <f>SUMIF(#REF!,$F133,#REF!)/1000</f>
        <v>#REF!</v>
      </c>
    </row>
    <row r="134" spans="1:36" s="456" customFormat="1">
      <c r="D134" s="738"/>
      <c r="F134" s="481" t="s">
        <v>432</v>
      </c>
      <c r="G134" s="484">
        <v>2021</v>
      </c>
      <c r="H134" s="745" t="e">
        <f>SUMIF(#REF!,$F134,#REF!)/1000</f>
        <v>#REF!</v>
      </c>
      <c r="I134" s="745" t="e">
        <f>SUMIF(#REF!,$F134,#REF!)/1000</f>
        <v>#REF!</v>
      </c>
      <c r="J134" s="745" t="e">
        <f>SUMIF(#REF!,$F134,#REF!)/1000</f>
        <v>#REF!</v>
      </c>
      <c r="K134" s="744" t="e">
        <f>SUMIF(#REF!,$F134,#REF!)/1000</f>
        <v>#REF!</v>
      </c>
      <c r="L134" s="744" t="e">
        <f>SUMIF(#REF!,$F134,#REF!)/1000</f>
        <v>#REF!</v>
      </c>
      <c r="M134" s="744" t="e">
        <f>SUMIF(#REF!,$F134,#REF!)/1000</f>
        <v>#REF!</v>
      </c>
      <c r="N134" s="482" t="e">
        <f>SUMIF(#REF!,$F134,#REF!)/1000</f>
        <v>#REF!</v>
      </c>
      <c r="O134" s="482" t="e">
        <f>SUMIF(#REF!,$F134,#REF!)/1000</f>
        <v>#REF!</v>
      </c>
      <c r="P134" s="482" t="e">
        <f>SUMIF(#REF!,$F134,#REF!)/1000</f>
        <v>#REF!</v>
      </c>
      <c r="Q134" s="482" t="e">
        <f>SUMIF(#REF!,$F134,#REF!)/1000</f>
        <v>#REF!</v>
      </c>
      <c r="R134" s="482" t="e">
        <f>SUMIF(#REF!,$F134,#REF!)/1000</f>
        <v>#REF!</v>
      </c>
      <c r="S134" s="482" t="e">
        <f>SUMIF(#REF!,$F134,#REF!)/1000</f>
        <v>#REF!</v>
      </c>
      <c r="T134" s="482" t="e">
        <f>SUMIF(#REF!,$F134,#REF!)/1000</f>
        <v>#REF!</v>
      </c>
      <c r="U134" s="482" t="e">
        <f>SUMIF(#REF!,$F134,#REF!)/1000</f>
        <v>#REF!</v>
      </c>
      <c r="V134" s="482" t="e">
        <f>SUMIF(#REF!,$F134,#REF!)/1000</f>
        <v>#REF!</v>
      </c>
      <c r="W134" s="482" t="e">
        <f>SUMIF(#REF!,$F134,#REF!)/1000</f>
        <v>#REF!</v>
      </c>
      <c r="X134" s="482" t="e">
        <f>SUMIF(#REF!,$F134,#REF!)/1000</f>
        <v>#REF!</v>
      </c>
      <c r="Y134" s="482" t="e">
        <f>SUMIF(#REF!,$F134,#REF!)/1000</f>
        <v>#REF!</v>
      </c>
    </row>
    <row r="135" spans="1:36" s="456" customFormat="1">
      <c r="D135" s="738"/>
      <c r="F135" s="481" t="s">
        <v>429</v>
      </c>
      <c r="G135" s="484">
        <v>2021</v>
      </c>
      <c r="H135" s="745"/>
      <c r="I135" s="745"/>
      <c r="J135" s="745"/>
      <c r="K135" s="745"/>
      <c r="L135" s="745"/>
      <c r="M135" s="745"/>
      <c r="N135" s="482" t="e">
        <f>SUMIF(#REF!,$F135,#REF!)/1000</f>
        <v>#REF!</v>
      </c>
      <c r="O135" s="482" t="e">
        <f>SUMIF(#REF!,$F135,#REF!)/1000</f>
        <v>#REF!</v>
      </c>
      <c r="P135" s="482" t="e">
        <f>SUMIF(#REF!,$F135,#REF!)/1000</f>
        <v>#REF!</v>
      </c>
      <c r="Q135" s="482" t="e">
        <f>SUMIF(#REF!,$F135,#REF!)/1000</f>
        <v>#REF!</v>
      </c>
      <c r="R135" s="482" t="e">
        <f>SUMIF(#REF!,$F135,#REF!)/1000</f>
        <v>#REF!</v>
      </c>
      <c r="S135" s="482" t="e">
        <f>SUMIF(#REF!,$F135,#REF!)/1000</f>
        <v>#REF!</v>
      </c>
      <c r="T135" s="482" t="e">
        <f>SUMIF(#REF!,$F135,#REF!)/1000</f>
        <v>#REF!</v>
      </c>
      <c r="U135" s="482" t="e">
        <f>SUMIF(#REF!,$F135,#REF!)/1000</f>
        <v>#REF!</v>
      </c>
      <c r="V135" s="482" t="e">
        <f>SUMIF(#REF!,$F135,#REF!)/1000</f>
        <v>#REF!</v>
      </c>
      <c r="W135" s="482" t="e">
        <f>SUMIF(#REF!,$F135,#REF!)/1000</f>
        <v>#REF!</v>
      </c>
      <c r="X135" s="482" t="e">
        <f>SUMIF(#REF!,$F135,#REF!)/1000</f>
        <v>#REF!</v>
      </c>
      <c r="Y135" s="482" t="e">
        <f>SUMIF(#REF!,$F135,#REF!)/1000</f>
        <v>#REF!</v>
      </c>
    </row>
    <row r="136" spans="1:36" s="456" customFormat="1">
      <c r="D136" s="738"/>
      <c r="E136" s="10" t="s">
        <v>27</v>
      </c>
      <c r="F136" s="10" t="s">
        <v>433</v>
      </c>
      <c r="G136" s="484">
        <v>2021</v>
      </c>
      <c r="H136" s="745" t="e">
        <f>SUMIF(#REF!,$F136,#REF!)/1000</f>
        <v>#REF!</v>
      </c>
      <c r="I136" s="745" t="e">
        <f>SUMIF(#REF!,$F136,#REF!)/1000</f>
        <v>#REF!</v>
      </c>
      <c r="J136" s="745" t="e">
        <f>SUMIF(#REF!,$F136,#REF!)/1000</f>
        <v>#REF!</v>
      </c>
      <c r="K136" s="744" t="e">
        <f>SUMIF(#REF!,$F136,#REF!)/1000</f>
        <v>#REF!</v>
      </c>
      <c r="L136" s="744" t="e">
        <f>SUMIF(#REF!,$F136,#REF!)/1000</f>
        <v>#REF!</v>
      </c>
      <c r="M136" s="744" t="e">
        <f>SUMIF(#REF!,$F136,#REF!)/1000</f>
        <v>#REF!</v>
      </c>
      <c r="N136" s="482" t="e">
        <f>SUMIF(#REF!,$F136,#REF!)/1000</f>
        <v>#REF!</v>
      </c>
      <c r="O136" s="482" t="e">
        <f>SUMIF(#REF!,$F136,#REF!)/1000</f>
        <v>#REF!</v>
      </c>
      <c r="P136" s="482" t="e">
        <f>SUMIF(#REF!,$F136,#REF!)/1000</f>
        <v>#REF!</v>
      </c>
      <c r="Q136" s="482" t="e">
        <f>SUMIF(#REF!,$F136,#REF!)/1000</f>
        <v>#REF!</v>
      </c>
      <c r="R136" s="482" t="e">
        <f>SUMIF(#REF!,$F136,#REF!)/1000</f>
        <v>#REF!</v>
      </c>
      <c r="S136" s="482" t="e">
        <f>SUMIF(#REF!,$F136,#REF!)/1000</f>
        <v>#REF!</v>
      </c>
      <c r="T136" s="482" t="e">
        <f>SUMIF(#REF!,$F136,#REF!)/1000</f>
        <v>#REF!</v>
      </c>
      <c r="U136" s="482" t="e">
        <f>SUMIF(#REF!,$F136,#REF!)/1000</f>
        <v>#REF!</v>
      </c>
      <c r="V136" s="482" t="e">
        <f>SUMIF(#REF!,$F136,#REF!)/1000</f>
        <v>#REF!</v>
      </c>
      <c r="W136" s="482" t="e">
        <f>SUMIF(#REF!,$F136,#REF!)/1000</f>
        <v>#REF!</v>
      </c>
      <c r="X136" s="482" t="e">
        <f>SUMIF(#REF!,$F136,#REF!)/1000</f>
        <v>#REF!</v>
      </c>
      <c r="Y136" s="482" t="e">
        <f>SUMIF(#REF!,$F136,#REF!)/1000</f>
        <v>#REF!</v>
      </c>
      <c r="Z136" s="560" t="e">
        <f>SUM(N131:Y136)-#REF!/1000</f>
        <v>#REF!</v>
      </c>
    </row>
    <row r="137" spans="1:36" s="456" customFormat="1">
      <c r="D137" s="738"/>
      <c r="J137" s="458"/>
      <c r="M137" s="458"/>
      <c r="Y137" s="458"/>
    </row>
    <row r="138" spans="1:36">
      <c r="A138" s="456"/>
      <c r="B138" s="456"/>
      <c r="C138" s="456"/>
      <c r="D138" s="738"/>
      <c r="E138" s="456"/>
      <c r="M138" s="747" t="e">
        <f>SUM(H124:M129)-#REF!/1000</f>
        <v>#REF!</v>
      </c>
      <c r="AC138" s="456"/>
      <c r="AD138" s="456"/>
      <c r="AE138" s="456"/>
      <c r="AF138" s="456"/>
      <c r="AG138" s="456"/>
    </row>
    <row r="139" spans="1:36" s="216" customFormat="1">
      <c r="A139" s="456"/>
      <c r="B139" s="456"/>
      <c r="C139" s="456"/>
      <c r="D139" s="738"/>
      <c r="E139" s="456" t="s">
        <v>590</v>
      </c>
      <c r="F139" s="456" t="s">
        <v>391</v>
      </c>
      <c r="G139" s="456"/>
      <c r="H139" s="456"/>
      <c r="I139" s="456"/>
      <c r="J139" s="458"/>
      <c r="K139" s="456"/>
      <c r="L139" s="456"/>
      <c r="M139" s="747" t="e">
        <f>SUM(H131:M136)-#REF!/1000</f>
        <v>#REF!</v>
      </c>
      <c r="N139" s="456"/>
      <c r="O139" s="456"/>
      <c r="P139" s="456"/>
      <c r="Q139" s="456"/>
      <c r="R139" s="456"/>
      <c r="S139" s="456"/>
      <c r="T139" s="456"/>
      <c r="U139" s="456"/>
      <c r="V139" s="456"/>
      <c r="W139" s="456"/>
      <c r="X139" s="456"/>
      <c r="Y139" s="500"/>
      <c r="Z139" s="456"/>
      <c r="AA139" s="456"/>
      <c r="AB139" s="456"/>
      <c r="AC139" s="456"/>
      <c r="AD139" s="456"/>
      <c r="AE139" s="456"/>
      <c r="AF139" s="456"/>
      <c r="AG139" s="456"/>
      <c r="AH139" s="456"/>
      <c r="AI139" s="456"/>
      <c r="AJ139" s="456"/>
    </row>
    <row r="140" spans="1:36" s="216" customFormat="1">
      <c r="A140" s="456"/>
      <c r="B140" s="456"/>
      <c r="C140" s="456"/>
      <c r="D140" s="738"/>
      <c r="E140" s="456"/>
      <c r="F140" s="456" t="s">
        <v>586</v>
      </c>
      <c r="G140" s="456"/>
      <c r="H140" s="456"/>
      <c r="I140" s="456"/>
      <c r="J140" s="458"/>
      <c r="K140" s="456"/>
      <c r="L140" s="456"/>
      <c r="M140" s="458"/>
      <c r="N140" s="456"/>
      <c r="O140" s="456"/>
      <c r="P140" s="456"/>
      <c r="Q140" s="456"/>
      <c r="R140" s="456"/>
      <c r="S140" s="456"/>
      <c r="T140" s="456"/>
      <c r="U140" s="456"/>
      <c r="V140" s="456"/>
      <c r="W140" s="456"/>
      <c r="X140" s="456"/>
      <c r="Y140" s="500"/>
      <c r="Z140" s="456"/>
      <c r="AA140" s="456"/>
      <c r="AB140" s="456"/>
      <c r="AC140" s="456"/>
      <c r="AD140" s="456"/>
      <c r="AE140" s="456"/>
      <c r="AF140" s="456"/>
      <c r="AG140" s="456"/>
      <c r="AH140" s="456"/>
      <c r="AI140" s="456"/>
      <c r="AJ140" s="456"/>
    </row>
    <row r="141" spans="1:36" s="216" customFormat="1">
      <c r="A141" s="456"/>
      <c r="B141" s="456"/>
      <c r="C141" s="456"/>
      <c r="D141" s="738"/>
      <c r="E141" s="456"/>
      <c r="F141" s="456" t="s">
        <v>587</v>
      </c>
      <c r="G141" s="456"/>
      <c r="H141" s="456"/>
      <c r="I141" s="456"/>
      <c r="J141" s="458"/>
      <c r="K141" s="456"/>
      <c r="L141" s="456"/>
      <c r="M141" s="458"/>
      <c r="N141" s="456"/>
      <c r="O141" s="456"/>
      <c r="P141" s="456"/>
      <c r="Q141" s="456"/>
      <c r="R141" s="456"/>
      <c r="S141" s="456"/>
      <c r="T141" s="456"/>
      <c r="U141" s="456"/>
      <c r="V141" s="456"/>
      <c r="W141" s="456"/>
      <c r="X141" s="456"/>
      <c r="Y141" s="500"/>
      <c r="Z141" s="456"/>
      <c r="AA141" s="456"/>
      <c r="AB141" s="456"/>
      <c r="AC141" s="456"/>
      <c r="AD141" s="456"/>
      <c r="AE141" s="456"/>
      <c r="AF141" s="456"/>
      <c r="AG141" s="456"/>
      <c r="AH141" s="456"/>
      <c r="AI141" s="456"/>
      <c r="AJ141" s="456"/>
    </row>
    <row r="142" spans="1:36" s="216" customFormat="1">
      <c r="A142" s="456"/>
      <c r="B142" s="456"/>
      <c r="C142" s="456"/>
      <c r="D142" s="738"/>
      <c r="E142" s="456"/>
      <c r="F142" s="456" t="s">
        <v>588</v>
      </c>
      <c r="G142" s="456"/>
      <c r="H142" s="456"/>
      <c r="I142" s="456"/>
      <c r="J142" s="458"/>
      <c r="K142" s="456"/>
      <c r="L142" s="456"/>
      <c r="M142" s="458"/>
      <c r="N142" s="456"/>
      <c r="O142" s="456"/>
      <c r="P142" s="456"/>
      <c r="Q142" s="456"/>
      <c r="R142" s="456"/>
      <c r="S142" s="456"/>
      <c r="T142" s="456"/>
      <c r="U142" s="456"/>
      <c r="V142" s="456"/>
      <c r="W142" s="456"/>
      <c r="X142" s="456"/>
      <c r="Y142" s="500"/>
      <c r="Z142" s="456"/>
      <c r="AA142" s="456"/>
      <c r="AB142" s="456"/>
      <c r="AC142" s="456"/>
      <c r="AD142" s="456"/>
      <c r="AE142" s="456"/>
      <c r="AF142" s="456"/>
      <c r="AG142" s="456"/>
      <c r="AH142" s="456"/>
      <c r="AI142" s="456"/>
      <c r="AJ142" s="456"/>
    </row>
    <row r="143" spans="1:36" s="216" customFormat="1">
      <c r="A143" s="456"/>
      <c r="B143" s="456"/>
      <c r="C143" s="456"/>
      <c r="D143" s="738"/>
      <c r="E143" s="456"/>
      <c r="F143" s="456" t="s">
        <v>589</v>
      </c>
      <c r="G143" s="456"/>
      <c r="H143" s="456"/>
      <c r="I143" s="456"/>
      <c r="J143" s="458"/>
      <c r="K143" s="456"/>
      <c r="L143" s="456"/>
      <c r="M143" s="458"/>
      <c r="N143" s="456"/>
      <c r="O143" s="456"/>
      <c r="P143" s="456"/>
      <c r="Q143" s="456"/>
      <c r="R143" s="456"/>
      <c r="S143" s="456"/>
      <c r="T143" s="456"/>
      <c r="U143" s="456"/>
      <c r="V143" s="456"/>
      <c r="W143" s="456"/>
      <c r="X143" s="456"/>
      <c r="Y143" s="500"/>
      <c r="Z143" s="456"/>
      <c r="AA143" s="456"/>
      <c r="AB143" s="456"/>
      <c r="AC143" s="456"/>
      <c r="AD143" s="456"/>
      <c r="AE143" s="456"/>
      <c r="AF143" s="456"/>
      <c r="AG143" s="456"/>
      <c r="AH143" s="456"/>
      <c r="AI143" s="456"/>
      <c r="AJ143" s="456"/>
    </row>
    <row r="144" spans="1:36" s="216" customFormat="1">
      <c r="A144" s="456"/>
      <c r="B144" s="456"/>
      <c r="C144" s="456"/>
      <c r="D144" s="738"/>
      <c r="E144" s="456" t="s">
        <v>591</v>
      </c>
      <c r="F144" s="456" t="s">
        <v>391</v>
      </c>
      <c r="G144" s="456"/>
      <c r="H144" s="456"/>
      <c r="I144" s="456"/>
      <c r="J144" s="458"/>
      <c r="K144" s="456"/>
      <c r="L144" s="456"/>
      <c r="M144" s="458"/>
      <c r="N144" s="456"/>
      <c r="O144" s="456"/>
      <c r="P144" s="456"/>
      <c r="Q144" s="456"/>
      <c r="R144" s="456"/>
      <c r="S144" s="456"/>
      <c r="T144" s="456"/>
      <c r="U144" s="456"/>
      <c r="V144" s="456"/>
      <c r="W144" s="456"/>
      <c r="X144" s="456"/>
      <c r="Y144" s="500"/>
      <c r="Z144" s="456"/>
      <c r="AA144" s="456"/>
      <c r="AB144" s="456"/>
      <c r="AC144" s="456"/>
      <c r="AD144" s="456"/>
      <c r="AE144" s="456"/>
      <c r="AF144" s="456"/>
      <c r="AG144" s="456"/>
      <c r="AH144" s="456"/>
      <c r="AI144" s="456"/>
      <c r="AJ144" s="456"/>
    </row>
    <row r="145" spans="1:36" s="216" customFormat="1">
      <c r="A145" s="456"/>
      <c r="B145" s="456"/>
      <c r="C145" s="456"/>
      <c r="D145" s="738"/>
      <c r="E145" s="456"/>
      <c r="F145" s="456" t="s">
        <v>586</v>
      </c>
      <c r="G145" s="456"/>
      <c r="H145" s="456"/>
      <c r="I145" s="456"/>
      <c r="J145" s="458"/>
      <c r="K145" s="456"/>
      <c r="L145" s="456"/>
      <c r="M145" s="458"/>
      <c r="N145" s="456"/>
      <c r="O145" s="456"/>
      <c r="P145" s="456"/>
      <c r="Q145" s="456"/>
      <c r="R145" s="456"/>
      <c r="S145" s="456"/>
      <c r="T145" s="456"/>
      <c r="U145" s="456"/>
      <c r="V145" s="456"/>
      <c r="W145" s="456"/>
      <c r="X145" s="456"/>
      <c r="Y145" s="500"/>
      <c r="Z145" s="456"/>
      <c r="AA145" s="456"/>
      <c r="AB145" s="456"/>
      <c r="AC145" s="456"/>
      <c r="AD145" s="456"/>
      <c r="AE145" s="456"/>
      <c r="AF145" s="456"/>
      <c r="AG145" s="456"/>
      <c r="AH145" s="456"/>
      <c r="AI145" s="456"/>
      <c r="AJ145" s="456"/>
    </row>
    <row r="146" spans="1:36" s="216" customFormat="1">
      <c r="A146" s="456"/>
      <c r="B146" s="456"/>
      <c r="C146" s="456"/>
      <c r="D146" s="738"/>
      <c r="E146" s="456"/>
      <c r="F146" s="456" t="s">
        <v>587</v>
      </c>
      <c r="G146" s="456"/>
      <c r="H146" s="456"/>
      <c r="I146" s="456"/>
      <c r="J146" s="458"/>
      <c r="K146" s="456"/>
      <c r="L146" s="456"/>
      <c r="M146" s="458"/>
      <c r="N146" s="456"/>
      <c r="O146" s="456"/>
      <c r="P146" s="456"/>
      <c r="Q146" s="456"/>
      <c r="R146" s="456"/>
      <c r="S146" s="456"/>
      <c r="T146" s="456"/>
      <c r="U146" s="456"/>
      <c r="V146" s="456"/>
      <c r="W146" s="456"/>
      <c r="X146" s="456"/>
      <c r="Y146" s="500"/>
      <c r="Z146" s="456"/>
      <c r="AA146" s="456"/>
      <c r="AB146" s="456"/>
      <c r="AC146" s="456"/>
      <c r="AD146" s="456"/>
      <c r="AE146" s="456"/>
      <c r="AF146" s="456"/>
      <c r="AG146" s="456"/>
      <c r="AH146" s="456"/>
      <c r="AI146" s="456"/>
      <c r="AJ146" s="456"/>
    </row>
    <row r="147" spans="1:36" s="216" customFormat="1">
      <c r="A147" s="456"/>
      <c r="B147" s="456"/>
      <c r="C147" s="456"/>
      <c r="D147" s="738"/>
      <c r="E147" s="456"/>
      <c r="F147" s="456" t="s">
        <v>588</v>
      </c>
      <c r="G147" s="456"/>
      <c r="H147" s="456"/>
      <c r="I147" s="456"/>
      <c r="J147" s="458"/>
      <c r="K147" s="456"/>
      <c r="L147" s="456"/>
      <c r="M147" s="458"/>
      <c r="N147" s="456"/>
      <c r="O147" s="456"/>
      <c r="P147" s="456"/>
      <c r="Q147" s="456"/>
      <c r="R147" s="456"/>
      <c r="S147" s="456"/>
      <c r="T147" s="456"/>
      <c r="U147" s="456"/>
      <c r="V147" s="456"/>
      <c r="W147" s="456"/>
      <c r="X147" s="456"/>
      <c r="Y147" s="500"/>
      <c r="Z147" s="456"/>
      <c r="AA147" s="456"/>
      <c r="AB147" s="456"/>
      <c r="AC147" s="456"/>
      <c r="AD147" s="456"/>
      <c r="AE147" s="456"/>
      <c r="AF147" s="456"/>
      <c r="AG147" s="456"/>
      <c r="AH147" s="456"/>
      <c r="AI147" s="456"/>
      <c r="AJ147" s="456"/>
    </row>
    <row r="148" spans="1:36" s="216" customFormat="1">
      <c r="A148" s="456"/>
      <c r="B148" s="456"/>
      <c r="C148" s="456"/>
      <c r="D148" s="738"/>
      <c r="E148" s="456"/>
      <c r="F148" s="456" t="s">
        <v>589</v>
      </c>
      <c r="G148" s="456"/>
      <c r="H148" s="456"/>
      <c r="I148" s="456"/>
      <c r="J148" s="458"/>
      <c r="K148" s="456"/>
      <c r="L148" s="456"/>
      <c r="M148" s="458"/>
      <c r="N148" s="456"/>
      <c r="O148" s="456"/>
      <c r="P148" s="456"/>
      <c r="Q148" s="456"/>
      <c r="R148" s="456"/>
      <c r="S148" s="456"/>
      <c r="T148" s="456"/>
      <c r="U148" s="456"/>
      <c r="V148" s="456"/>
      <c r="W148" s="456"/>
      <c r="X148" s="456"/>
      <c r="Y148" s="500"/>
      <c r="Z148" s="456"/>
      <c r="AA148" s="456"/>
      <c r="AB148" s="456"/>
      <c r="AC148" s="456"/>
      <c r="AD148" s="456"/>
      <c r="AE148" s="456"/>
      <c r="AF148" s="456"/>
      <c r="AG148" s="456"/>
      <c r="AH148" s="456"/>
      <c r="AI148" s="456"/>
      <c r="AJ148" s="456"/>
    </row>
    <row r="149" spans="1:36" s="216" customFormat="1">
      <c r="A149" s="456"/>
      <c r="B149" s="456"/>
      <c r="C149" s="456"/>
      <c r="D149" s="738"/>
      <c r="E149" s="456"/>
      <c r="F149" s="456"/>
      <c r="G149" s="456"/>
      <c r="H149" s="456"/>
      <c r="I149" s="456"/>
      <c r="J149" s="458"/>
      <c r="K149" s="456"/>
      <c r="L149" s="456"/>
      <c r="M149" s="458"/>
      <c r="N149" s="456"/>
      <c r="O149" s="456"/>
      <c r="P149" s="456"/>
      <c r="Q149" s="456"/>
      <c r="R149" s="456"/>
      <c r="S149" s="456"/>
      <c r="T149" s="456"/>
      <c r="U149" s="456"/>
      <c r="V149" s="456"/>
      <c r="W149" s="456"/>
      <c r="X149" s="456"/>
      <c r="Y149" s="501">
        <f>SUM(Y139:Y148)+'PREVISIÓN PRÉSTAMO'!M19/1000+'PREVISIÓN PRÉSTAMO'!M20/1000-Y76-Y92</f>
        <v>-23706247.748588812</v>
      </c>
      <c r="Z149" s="456"/>
      <c r="AA149" s="456"/>
      <c r="AB149" s="456"/>
      <c r="AC149" s="456"/>
      <c r="AD149" s="456"/>
      <c r="AE149" s="456"/>
      <c r="AF149" s="456"/>
      <c r="AG149" s="456"/>
      <c r="AH149" s="456"/>
      <c r="AI149" s="456"/>
      <c r="AJ149" s="456"/>
    </row>
    <row r="150" spans="1:36" s="216" customFormat="1">
      <c r="A150" s="456"/>
      <c r="B150" s="456"/>
      <c r="C150" s="456"/>
      <c r="D150" s="738"/>
      <c r="E150" s="456"/>
      <c r="F150" s="456"/>
      <c r="G150" s="456"/>
      <c r="H150" s="456"/>
      <c r="I150" s="456"/>
      <c r="J150" s="458"/>
      <c r="K150" s="456"/>
      <c r="L150" s="456"/>
      <c r="M150" s="458"/>
      <c r="N150" s="456"/>
      <c r="O150" s="456"/>
      <c r="P150" s="456"/>
      <c r="Q150" s="456"/>
      <c r="R150" s="456"/>
      <c r="S150" s="456"/>
      <c r="T150" s="456"/>
      <c r="U150" s="456"/>
      <c r="V150" s="456"/>
      <c r="W150" s="456"/>
      <c r="X150" s="456"/>
      <c r="Y150" s="458"/>
      <c r="Z150" s="456"/>
      <c r="AA150" s="456"/>
      <c r="AB150" s="456"/>
      <c r="AC150" s="456"/>
      <c r="AD150" s="456"/>
      <c r="AE150" s="456"/>
      <c r="AF150" s="456"/>
      <c r="AG150" s="456"/>
      <c r="AH150" s="456"/>
      <c r="AI150" s="456"/>
      <c r="AJ150" s="456"/>
    </row>
    <row r="151" spans="1:36" s="216" customFormat="1">
      <c r="A151" s="456"/>
      <c r="B151" s="456"/>
      <c r="C151" s="456"/>
      <c r="D151" s="738"/>
      <c r="E151" s="456"/>
      <c r="F151" s="456"/>
      <c r="G151" s="456"/>
      <c r="H151" s="456"/>
      <c r="I151" s="456"/>
      <c r="J151" s="458"/>
      <c r="K151" s="456"/>
      <c r="L151" s="456"/>
      <c r="M151" s="458"/>
      <c r="N151" s="456"/>
      <c r="O151" s="456"/>
      <c r="P151" s="456"/>
      <c r="Q151" s="456"/>
      <c r="R151" s="456"/>
      <c r="S151" s="456"/>
      <c r="T151" s="456"/>
      <c r="U151" s="456"/>
      <c r="V151" s="456"/>
      <c r="W151" s="456"/>
      <c r="X151" s="456"/>
      <c r="Y151" s="458"/>
      <c r="Z151" s="456"/>
      <c r="AA151" s="456"/>
      <c r="AB151" s="456"/>
      <c r="AC151" s="456"/>
      <c r="AD151" s="456"/>
      <c r="AE151" s="456"/>
      <c r="AF151" s="456"/>
      <c r="AG151" s="456"/>
      <c r="AH151" s="456"/>
      <c r="AI151" s="456"/>
      <c r="AJ151" s="456"/>
    </row>
    <row r="152" spans="1:36" s="216" customFormat="1">
      <c r="A152" s="456"/>
      <c r="B152" s="456"/>
      <c r="C152" s="456"/>
      <c r="D152" s="738"/>
      <c r="E152" s="456"/>
      <c r="F152" s="456"/>
      <c r="G152" s="456"/>
      <c r="H152" s="456"/>
      <c r="I152" s="456"/>
      <c r="J152" s="458"/>
      <c r="K152" s="456"/>
      <c r="L152" s="456"/>
      <c r="M152" s="458"/>
      <c r="N152" s="456"/>
      <c r="O152" s="456"/>
      <c r="P152" s="456"/>
      <c r="Q152" s="456"/>
      <c r="R152" s="456"/>
      <c r="S152" s="456"/>
      <c r="T152" s="456"/>
      <c r="U152" s="456"/>
      <c r="V152" s="456"/>
      <c r="W152" s="456"/>
      <c r="X152" s="456"/>
      <c r="Y152" s="458"/>
      <c r="Z152" s="456"/>
      <c r="AA152" s="456"/>
      <c r="AB152" s="456"/>
      <c r="AC152" s="456"/>
      <c r="AD152" s="456"/>
      <c r="AE152" s="456"/>
      <c r="AF152" s="456"/>
      <c r="AG152" s="456"/>
      <c r="AH152" s="456"/>
      <c r="AI152" s="456"/>
      <c r="AJ152" s="456"/>
    </row>
    <row r="153" spans="1:36" s="216" customFormat="1">
      <c r="A153" s="456"/>
      <c r="B153" s="456"/>
      <c r="C153" s="456"/>
      <c r="D153" s="738"/>
      <c r="E153" s="456"/>
      <c r="F153" s="456"/>
      <c r="G153" s="456"/>
      <c r="H153" s="456"/>
      <c r="I153" s="456"/>
      <c r="J153" s="458"/>
      <c r="K153" s="456"/>
      <c r="L153" s="456"/>
      <c r="M153" s="458"/>
      <c r="N153" s="456"/>
      <c r="O153" s="456"/>
      <c r="P153" s="456"/>
      <c r="Q153" s="456"/>
      <c r="R153" s="456"/>
      <c r="S153" s="456"/>
      <c r="T153" s="456"/>
      <c r="U153" s="456"/>
      <c r="V153" s="456"/>
      <c r="W153" s="456"/>
      <c r="X153" s="456"/>
      <c r="Y153" s="458"/>
      <c r="Z153" s="456"/>
      <c r="AA153" s="456"/>
      <c r="AB153" s="456"/>
      <c r="AC153" s="456"/>
      <c r="AD153" s="456"/>
      <c r="AE153" s="456"/>
      <c r="AF153" s="456"/>
      <c r="AG153" s="456"/>
      <c r="AH153" s="456"/>
      <c r="AI153" s="456"/>
      <c r="AJ153" s="456"/>
    </row>
    <row r="154" spans="1:36" s="216" customFormat="1">
      <c r="A154" s="456"/>
      <c r="B154" s="456"/>
      <c r="C154" s="456"/>
      <c r="D154" s="738"/>
      <c r="E154" s="456"/>
      <c r="F154" s="456"/>
      <c r="G154" s="456"/>
      <c r="H154" s="456"/>
      <c r="I154" s="456"/>
      <c r="J154" s="458"/>
      <c r="K154" s="456"/>
      <c r="L154" s="456"/>
      <c r="M154" s="458"/>
      <c r="N154" s="456"/>
      <c r="O154" s="456"/>
      <c r="P154" s="456"/>
      <c r="Q154" s="456"/>
      <c r="R154" s="456"/>
      <c r="S154" s="456"/>
      <c r="T154" s="456"/>
      <c r="U154" s="456"/>
      <c r="V154" s="456"/>
      <c r="W154" s="456"/>
      <c r="X154" s="456"/>
      <c r="Y154" s="458"/>
      <c r="Z154" s="456"/>
      <c r="AA154" s="456"/>
      <c r="AB154" s="456"/>
      <c r="AC154" s="456"/>
      <c r="AD154" s="456"/>
      <c r="AE154" s="456"/>
      <c r="AF154" s="456"/>
      <c r="AG154" s="456"/>
      <c r="AH154" s="456"/>
      <c r="AI154" s="456"/>
      <c r="AJ154" s="456"/>
    </row>
    <row r="155" spans="1:36" s="216" customFormat="1">
      <c r="A155" s="456"/>
      <c r="B155" s="456"/>
      <c r="C155" s="456"/>
      <c r="D155" s="738"/>
      <c r="E155" s="456"/>
      <c r="F155" s="456"/>
      <c r="G155" s="456"/>
      <c r="H155" s="456"/>
      <c r="I155" s="456"/>
      <c r="J155" s="458"/>
      <c r="K155" s="456"/>
      <c r="L155" s="456"/>
      <c r="M155" s="458"/>
      <c r="N155" s="456"/>
      <c r="O155" s="456"/>
      <c r="P155" s="456"/>
      <c r="Q155" s="456"/>
      <c r="R155" s="456"/>
      <c r="S155" s="456"/>
      <c r="T155" s="456"/>
      <c r="U155" s="456"/>
      <c r="V155" s="456"/>
      <c r="W155" s="456"/>
      <c r="X155" s="456"/>
      <c r="Y155" s="458"/>
      <c r="Z155" s="456"/>
      <c r="AA155" s="456"/>
      <c r="AB155" s="456"/>
      <c r="AC155" s="456"/>
      <c r="AD155" s="456"/>
      <c r="AE155" s="456"/>
      <c r="AF155" s="456"/>
      <c r="AG155" s="456"/>
      <c r="AH155" s="456"/>
      <c r="AI155" s="456"/>
      <c r="AJ155" s="456"/>
    </row>
    <row r="156" spans="1:36" s="216" customFormat="1">
      <c r="A156" s="456"/>
      <c r="B156" s="558"/>
      <c r="C156" s="456"/>
      <c r="D156" s="738"/>
      <c r="E156" s="456"/>
      <c r="F156" s="456"/>
      <c r="G156" s="456"/>
      <c r="H156" s="456"/>
      <c r="I156" s="456"/>
      <c r="J156" s="458"/>
      <c r="K156" s="456"/>
      <c r="L156" s="456"/>
      <c r="M156" s="458"/>
      <c r="N156" s="456"/>
      <c r="O156" s="456"/>
      <c r="P156" s="456"/>
      <c r="Q156" s="456"/>
      <c r="R156" s="456"/>
      <c r="S156" s="456"/>
      <c r="T156" s="456"/>
      <c r="U156" s="456"/>
      <c r="V156" s="456"/>
      <c r="W156" s="456"/>
      <c r="X156" s="456"/>
      <c r="Y156" s="458"/>
      <c r="Z156" s="456"/>
      <c r="AA156" s="456"/>
      <c r="AB156" s="456"/>
      <c r="AC156" s="456"/>
      <c r="AD156" s="456"/>
      <c r="AE156" s="456"/>
      <c r="AF156" s="456"/>
      <c r="AG156" s="456"/>
      <c r="AH156" s="456"/>
      <c r="AI156" s="456"/>
      <c r="AJ156" s="456"/>
    </row>
    <row r="157" spans="1:36" s="216" customFormat="1">
      <c r="A157" s="456"/>
      <c r="B157" s="558" t="s">
        <v>663</v>
      </c>
      <c r="C157" s="480">
        <v>11902300</v>
      </c>
      <c r="D157" s="742"/>
      <c r="E157" s="456"/>
      <c r="F157" s="456"/>
      <c r="G157" s="456"/>
      <c r="H157" s="456"/>
      <c r="I157" s="456"/>
      <c r="J157" s="458"/>
      <c r="K157" s="456"/>
      <c r="L157" s="456"/>
      <c r="M157" s="458"/>
      <c r="N157" s="456"/>
      <c r="O157" s="456"/>
      <c r="P157" s="456"/>
      <c r="Q157" s="456"/>
      <c r="R157" s="456"/>
      <c r="S157" s="456"/>
      <c r="T157" s="456"/>
      <c r="U157" s="456"/>
      <c r="V157" s="456"/>
      <c r="W157" s="456"/>
      <c r="X157" s="456"/>
      <c r="Y157" s="458"/>
      <c r="Z157" s="456"/>
      <c r="AA157" s="456"/>
      <c r="AB157" s="456"/>
      <c r="AC157" s="456"/>
      <c r="AD157" s="456"/>
      <c r="AE157" s="456"/>
      <c r="AF157" s="456"/>
      <c r="AG157" s="456"/>
      <c r="AH157" s="456"/>
      <c r="AI157" s="456"/>
      <c r="AJ157" s="456"/>
    </row>
    <row r="158" spans="1:36" s="216" customFormat="1">
      <c r="A158" s="456"/>
      <c r="B158" s="558" t="s">
        <v>664</v>
      </c>
      <c r="C158" s="480">
        <v>10178000</v>
      </c>
      <c r="D158" s="742"/>
      <c r="E158" s="456" t="s">
        <v>665</v>
      </c>
      <c r="F158" s="456"/>
      <c r="G158" s="456"/>
      <c r="H158" s="456"/>
      <c r="I158" s="456"/>
      <c r="J158" s="458"/>
      <c r="K158" s="456"/>
      <c r="L158" s="456"/>
      <c r="M158" s="458"/>
      <c r="N158" s="456"/>
      <c r="O158" s="456"/>
      <c r="P158" s="456"/>
      <c r="Q158" s="456"/>
      <c r="R158" s="456"/>
      <c r="S158" s="456"/>
      <c r="T158" s="456"/>
      <c r="U158" s="456"/>
      <c r="V158" s="456"/>
      <c r="W158" s="456"/>
      <c r="X158" s="456"/>
      <c r="Y158" s="458"/>
      <c r="Z158" s="456"/>
      <c r="AA158" s="456"/>
      <c r="AB158" s="456"/>
      <c r="AC158" s="456"/>
      <c r="AD158" s="456"/>
      <c r="AE158" s="456"/>
      <c r="AF158" s="456"/>
      <c r="AG158" s="456"/>
      <c r="AH158" s="456"/>
      <c r="AI158" s="456"/>
      <c r="AJ158" s="456"/>
    </row>
    <row r="159" spans="1:36" s="216" customFormat="1">
      <c r="A159" s="456"/>
      <c r="B159" s="559" t="s">
        <v>390</v>
      </c>
      <c r="C159" s="480">
        <f>C157-C158</f>
        <v>1724300</v>
      </c>
      <c r="D159" s="742"/>
      <c r="E159" s="456"/>
      <c r="F159" s="456"/>
      <c r="G159" s="456"/>
      <c r="H159" s="456"/>
      <c r="I159" s="456"/>
      <c r="J159" s="458"/>
      <c r="K159" s="456"/>
      <c r="L159" s="456"/>
      <c r="M159" s="458"/>
      <c r="N159" s="456"/>
      <c r="O159" s="456"/>
      <c r="P159" s="456"/>
      <c r="Q159" s="456"/>
      <c r="R159" s="456"/>
      <c r="S159" s="456"/>
      <c r="T159" s="456"/>
      <c r="U159" s="456"/>
      <c r="V159" s="456"/>
      <c r="W159" s="456"/>
      <c r="X159" s="456"/>
      <c r="Y159" s="458"/>
      <c r="Z159" s="456"/>
      <c r="AA159" s="456"/>
      <c r="AB159" s="456"/>
      <c r="AC159" s="456"/>
      <c r="AD159" s="456"/>
      <c r="AE159" s="456"/>
      <c r="AF159" s="456"/>
      <c r="AG159" s="456"/>
      <c r="AH159" s="456"/>
      <c r="AI159" s="456"/>
      <c r="AJ159" s="456"/>
    </row>
    <row r="160" spans="1:36" s="216" customFormat="1">
      <c r="A160" s="456"/>
      <c r="B160" s="456"/>
      <c r="C160" s="456"/>
      <c r="D160" s="738"/>
      <c r="E160" s="456"/>
      <c r="F160" s="456"/>
      <c r="G160" s="456"/>
      <c r="H160" s="456"/>
      <c r="I160" s="456"/>
      <c r="J160" s="458"/>
      <c r="K160" s="456"/>
      <c r="L160" s="456"/>
      <c r="M160" s="458"/>
      <c r="N160" s="456"/>
      <c r="O160" s="456"/>
      <c r="P160" s="456"/>
      <c r="Q160" s="456"/>
      <c r="R160" s="456"/>
      <c r="S160" s="456"/>
      <c r="T160" s="456"/>
      <c r="U160" s="456"/>
      <c r="V160" s="456"/>
      <c r="W160" s="456"/>
      <c r="X160" s="456"/>
      <c r="Y160" s="458"/>
      <c r="Z160" s="456"/>
      <c r="AA160" s="456"/>
      <c r="AB160" s="456"/>
      <c r="AC160" s="456"/>
      <c r="AD160" s="456"/>
      <c r="AE160" s="456"/>
      <c r="AF160" s="456"/>
      <c r="AG160" s="456"/>
      <c r="AH160" s="456"/>
      <c r="AI160" s="456"/>
      <c r="AJ160" s="456"/>
    </row>
    <row r="161" spans="1:36" s="216" customFormat="1">
      <c r="A161" s="456"/>
      <c r="B161" s="456"/>
      <c r="C161" s="456"/>
      <c r="D161" s="738"/>
      <c r="E161" s="456"/>
      <c r="F161" s="456"/>
      <c r="G161" s="456"/>
      <c r="H161" s="456"/>
      <c r="I161" s="456"/>
      <c r="J161" s="458"/>
      <c r="K161" s="456"/>
      <c r="L161" s="456"/>
      <c r="M161" s="458"/>
      <c r="N161" s="456"/>
      <c r="O161" s="456"/>
      <c r="P161" s="456"/>
      <c r="Q161" s="456"/>
      <c r="R161" s="456"/>
      <c r="S161" s="456"/>
      <c r="T161" s="456"/>
      <c r="U161" s="456"/>
      <c r="V161" s="456"/>
      <c r="W161" s="456"/>
      <c r="X161" s="456"/>
      <c r="Y161" s="458"/>
      <c r="Z161" s="456"/>
      <c r="AA161" s="456"/>
      <c r="AB161" s="456"/>
      <c r="AC161" s="456"/>
      <c r="AD161" s="456"/>
      <c r="AE161" s="456"/>
      <c r="AF161" s="456"/>
      <c r="AG161" s="456"/>
      <c r="AH161" s="456"/>
      <c r="AI161" s="456"/>
      <c r="AJ161" s="456"/>
    </row>
    <row r="162" spans="1:36" s="216" customFormat="1">
      <c r="A162" s="456"/>
      <c r="B162" s="456"/>
      <c r="C162" s="456"/>
      <c r="D162" s="738"/>
      <c r="E162" s="456"/>
      <c r="F162" s="456"/>
      <c r="G162" s="456"/>
      <c r="H162" s="456"/>
      <c r="I162" s="456"/>
      <c r="J162" s="458"/>
      <c r="K162" s="456"/>
      <c r="L162" s="456"/>
      <c r="M162" s="458"/>
      <c r="N162" s="456"/>
      <c r="O162" s="456"/>
      <c r="P162" s="456"/>
      <c r="Q162" s="456"/>
      <c r="R162" s="456"/>
      <c r="S162" s="456"/>
      <c r="T162" s="456"/>
      <c r="U162" s="456"/>
      <c r="V162" s="456"/>
      <c r="W162" s="456"/>
      <c r="X162" s="456"/>
      <c r="Y162" s="458"/>
      <c r="Z162" s="456"/>
      <c r="AA162" s="456"/>
      <c r="AB162" s="456"/>
      <c r="AC162" s="456"/>
      <c r="AD162" s="456"/>
      <c r="AE162" s="456"/>
      <c r="AF162" s="456"/>
      <c r="AG162" s="456"/>
      <c r="AH162" s="456"/>
      <c r="AI162" s="456"/>
      <c r="AJ162" s="456"/>
    </row>
    <row r="163" spans="1:36" s="216" customFormat="1">
      <c r="A163" s="456"/>
      <c r="B163" s="456"/>
      <c r="C163" s="456"/>
      <c r="D163" s="738"/>
      <c r="E163" s="456"/>
      <c r="F163" s="456"/>
      <c r="G163" s="456"/>
      <c r="H163" s="456"/>
      <c r="I163" s="456"/>
      <c r="J163" s="458"/>
      <c r="K163" s="456"/>
      <c r="L163" s="456"/>
      <c r="M163" s="458"/>
      <c r="N163" s="456"/>
      <c r="O163" s="456"/>
      <c r="P163" s="456"/>
      <c r="Q163" s="456"/>
      <c r="R163" s="456"/>
      <c r="S163" s="456"/>
      <c r="T163" s="456"/>
      <c r="U163" s="456"/>
      <c r="V163" s="456"/>
      <c r="W163" s="456"/>
      <c r="X163" s="456"/>
      <c r="Y163" s="458"/>
      <c r="Z163" s="456"/>
      <c r="AA163" s="456"/>
      <c r="AB163" s="456"/>
      <c r="AC163" s="456"/>
      <c r="AD163" s="456"/>
      <c r="AE163" s="456"/>
      <c r="AF163" s="456"/>
      <c r="AG163" s="456"/>
      <c r="AH163" s="456"/>
      <c r="AI163" s="456"/>
      <c r="AJ163" s="456"/>
    </row>
    <row r="164" spans="1:36" s="216" customFormat="1">
      <c r="A164" s="456"/>
      <c r="B164" s="456"/>
      <c r="C164" s="456"/>
      <c r="D164" s="738"/>
      <c r="E164" s="456"/>
      <c r="F164" s="456"/>
      <c r="G164" s="456"/>
      <c r="H164" s="456"/>
      <c r="I164" s="456"/>
      <c r="J164" s="458"/>
      <c r="K164" s="456"/>
      <c r="L164" s="456"/>
      <c r="M164" s="458"/>
      <c r="N164" s="456"/>
      <c r="O164" s="456"/>
      <c r="P164" s="456"/>
      <c r="Q164" s="456"/>
      <c r="R164" s="456"/>
      <c r="S164" s="456"/>
      <c r="T164" s="456"/>
      <c r="U164" s="456"/>
      <c r="V164" s="456"/>
      <c r="W164" s="456"/>
      <c r="X164" s="456"/>
      <c r="Y164" s="458"/>
      <c r="Z164" s="456"/>
      <c r="AA164" s="456"/>
      <c r="AB164" s="456"/>
      <c r="AC164" s="456"/>
      <c r="AD164" s="456"/>
      <c r="AE164" s="456"/>
      <c r="AF164" s="456"/>
      <c r="AG164" s="456"/>
      <c r="AH164" s="456"/>
      <c r="AI164" s="456"/>
      <c r="AJ164" s="456"/>
    </row>
    <row r="165" spans="1:36" s="216" customFormat="1">
      <c r="A165" s="456"/>
      <c r="B165" s="456"/>
      <c r="C165" s="456"/>
      <c r="D165" s="738"/>
      <c r="E165" s="456"/>
      <c r="F165" s="456"/>
      <c r="G165" s="456"/>
      <c r="H165" s="456"/>
      <c r="I165" s="456"/>
      <c r="J165" s="458"/>
      <c r="K165" s="456"/>
      <c r="L165" s="456"/>
      <c r="M165" s="458"/>
      <c r="N165" s="456"/>
      <c r="O165" s="456"/>
      <c r="P165" s="456"/>
      <c r="Q165" s="456"/>
      <c r="R165" s="456"/>
      <c r="S165" s="456"/>
      <c r="T165" s="456"/>
      <c r="U165" s="456"/>
      <c r="V165" s="456"/>
      <c r="W165" s="456"/>
      <c r="X165" s="456"/>
      <c r="Y165" s="458"/>
      <c r="Z165" s="456"/>
      <c r="AA165" s="456"/>
      <c r="AB165" s="456"/>
      <c r="AC165" s="456"/>
      <c r="AD165" s="456"/>
      <c r="AE165" s="456"/>
      <c r="AF165" s="456"/>
      <c r="AG165" s="456"/>
      <c r="AH165" s="456"/>
      <c r="AI165" s="456"/>
      <c r="AJ165" s="456"/>
    </row>
    <row r="166" spans="1:36" s="216" customFormat="1">
      <c r="A166" s="456"/>
      <c r="B166" s="456"/>
      <c r="C166" s="456"/>
      <c r="D166" s="738"/>
      <c r="E166" s="456"/>
      <c r="F166" s="456"/>
      <c r="G166" s="456"/>
      <c r="H166" s="456"/>
      <c r="I166" s="456"/>
      <c r="J166" s="458"/>
      <c r="K166" s="456"/>
      <c r="L166" s="456"/>
      <c r="M166" s="458"/>
      <c r="N166" s="456"/>
      <c r="O166" s="456"/>
      <c r="P166" s="456"/>
      <c r="Q166" s="456"/>
      <c r="R166" s="456"/>
      <c r="S166" s="456"/>
      <c r="T166" s="456"/>
      <c r="U166" s="456"/>
      <c r="V166" s="456"/>
      <c r="W166" s="456"/>
      <c r="X166" s="456"/>
      <c r="Y166" s="458"/>
      <c r="Z166" s="456"/>
      <c r="AA166" s="456"/>
      <c r="AB166" s="456"/>
      <c r="AC166" s="456"/>
      <c r="AD166" s="456"/>
      <c r="AE166" s="456"/>
      <c r="AF166" s="456"/>
      <c r="AG166" s="456"/>
      <c r="AH166" s="456"/>
      <c r="AI166" s="456"/>
      <c r="AJ166" s="456"/>
    </row>
    <row r="167" spans="1:36" s="216" customFormat="1">
      <c r="A167" s="456"/>
      <c r="B167" s="456"/>
      <c r="C167" s="456"/>
      <c r="D167" s="738"/>
      <c r="E167" s="456"/>
      <c r="F167" s="456"/>
      <c r="G167" s="456"/>
      <c r="H167" s="456"/>
      <c r="I167" s="456"/>
      <c r="J167" s="458"/>
      <c r="K167" s="456"/>
      <c r="L167" s="456"/>
      <c r="M167" s="458"/>
      <c r="N167" s="456"/>
      <c r="O167" s="456"/>
      <c r="P167" s="456"/>
      <c r="Q167" s="456"/>
      <c r="R167" s="456"/>
      <c r="S167" s="456"/>
      <c r="T167" s="456"/>
      <c r="U167" s="456"/>
      <c r="V167" s="456"/>
      <c r="W167" s="456"/>
      <c r="X167" s="456"/>
      <c r="Y167" s="458"/>
      <c r="Z167" s="456"/>
      <c r="AA167" s="456"/>
      <c r="AB167" s="456"/>
      <c r="AC167" s="456"/>
      <c r="AD167" s="456"/>
      <c r="AE167" s="456"/>
      <c r="AF167" s="456"/>
      <c r="AG167" s="456"/>
      <c r="AH167" s="456"/>
      <c r="AI167" s="456"/>
      <c r="AJ167" s="456"/>
    </row>
    <row r="168" spans="1:36" s="216" customFormat="1">
      <c r="A168" s="456"/>
      <c r="B168" s="456"/>
      <c r="C168" s="456"/>
      <c r="D168" s="738"/>
      <c r="E168" s="456"/>
      <c r="F168" s="456"/>
      <c r="G168" s="456"/>
      <c r="H168" s="456"/>
      <c r="I168" s="456"/>
      <c r="J168" s="458"/>
      <c r="K168" s="456"/>
      <c r="L168" s="456"/>
      <c r="M168" s="458"/>
      <c r="N168" s="456"/>
      <c r="O168" s="456"/>
      <c r="P168" s="456"/>
      <c r="Q168" s="456"/>
      <c r="R168" s="456"/>
      <c r="S168" s="456"/>
      <c r="T168" s="456"/>
      <c r="U168" s="456"/>
      <c r="V168" s="456"/>
      <c r="W168" s="456"/>
      <c r="X168" s="456"/>
      <c r="Y168" s="458"/>
      <c r="Z168" s="456"/>
      <c r="AA168" s="456"/>
      <c r="AB168" s="456"/>
      <c r="AC168" s="456"/>
      <c r="AD168" s="456"/>
      <c r="AE168" s="456"/>
      <c r="AF168" s="456"/>
      <c r="AG168" s="456"/>
      <c r="AH168" s="456"/>
      <c r="AI168" s="456"/>
      <c r="AJ168" s="456"/>
    </row>
    <row r="169" spans="1:36" s="216" customFormat="1">
      <c r="A169" s="456"/>
      <c r="B169" s="456"/>
      <c r="C169" s="456"/>
      <c r="D169" s="738"/>
      <c r="E169" s="456"/>
      <c r="F169" s="456"/>
      <c r="G169" s="456"/>
      <c r="H169" s="456"/>
      <c r="I169" s="456"/>
      <c r="J169" s="458"/>
      <c r="K169" s="456"/>
      <c r="L169" s="456"/>
      <c r="M169" s="458"/>
      <c r="N169" s="456"/>
      <c r="O169" s="456"/>
      <c r="P169" s="456"/>
      <c r="Q169" s="456"/>
      <c r="R169" s="456"/>
      <c r="S169" s="456"/>
      <c r="T169" s="456"/>
      <c r="U169" s="456"/>
      <c r="V169" s="456"/>
      <c r="W169" s="456"/>
      <c r="X169" s="456"/>
      <c r="Y169" s="458"/>
      <c r="Z169" s="456"/>
      <c r="AA169" s="456"/>
      <c r="AB169" s="456"/>
      <c r="AC169" s="456"/>
      <c r="AD169" s="456"/>
      <c r="AE169" s="456"/>
      <c r="AF169" s="456"/>
      <c r="AG169" s="456"/>
      <c r="AH169" s="456"/>
      <c r="AI169" s="456"/>
      <c r="AJ169" s="456"/>
    </row>
    <row r="170" spans="1:36" s="216" customFormat="1">
      <c r="A170" s="456"/>
      <c r="B170" s="456"/>
      <c r="C170" s="456"/>
      <c r="D170" s="738"/>
      <c r="E170" s="456"/>
      <c r="F170" s="456"/>
      <c r="G170" s="456"/>
      <c r="H170" s="456"/>
      <c r="I170" s="456"/>
      <c r="J170" s="458"/>
      <c r="K170" s="456"/>
      <c r="L170" s="456"/>
      <c r="M170" s="458"/>
      <c r="N170" s="456"/>
      <c r="O170" s="456"/>
      <c r="P170" s="456"/>
      <c r="Q170" s="456"/>
      <c r="R170" s="456"/>
      <c r="S170" s="456"/>
      <c r="T170" s="456"/>
      <c r="U170" s="456"/>
      <c r="V170" s="456"/>
      <c r="W170" s="456"/>
      <c r="X170" s="456"/>
      <c r="Y170" s="458"/>
      <c r="Z170" s="456"/>
      <c r="AA170" s="456"/>
      <c r="AB170" s="456"/>
      <c r="AC170" s="456"/>
      <c r="AD170" s="456"/>
      <c r="AE170" s="456"/>
      <c r="AF170" s="456"/>
      <c r="AG170" s="456"/>
      <c r="AH170" s="456"/>
      <c r="AI170" s="456"/>
      <c r="AJ170" s="456"/>
    </row>
    <row r="171" spans="1:36" s="216" customFormat="1">
      <c r="A171" s="456"/>
      <c r="B171" s="456"/>
      <c r="C171" s="456"/>
      <c r="D171" s="738"/>
      <c r="E171" s="456"/>
      <c r="F171" s="456"/>
      <c r="G171" s="456"/>
      <c r="H171" s="456"/>
      <c r="I171" s="456"/>
      <c r="J171" s="458"/>
      <c r="K171" s="456"/>
      <c r="L171" s="456"/>
      <c r="M171" s="458"/>
      <c r="N171" s="456"/>
      <c r="O171" s="456"/>
      <c r="P171" s="456"/>
      <c r="Q171" s="456"/>
      <c r="R171" s="456"/>
      <c r="S171" s="456"/>
      <c r="T171" s="456"/>
      <c r="U171" s="456"/>
      <c r="V171" s="456"/>
      <c r="W171" s="456"/>
      <c r="X171" s="456"/>
      <c r="Y171" s="458"/>
      <c r="Z171" s="456"/>
      <c r="AA171" s="456"/>
      <c r="AB171" s="456"/>
      <c r="AC171" s="456"/>
      <c r="AD171" s="456"/>
      <c r="AE171" s="456"/>
      <c r="AF171" s="456"/>
      <c r="AG171" s="456"/>
      <c r="AH171" s="456"/>
      <c r="AI171" s="456"/>
      <c r="AJ171" s="456"/>
    </row>
    <row r="172" spans="1:36" s="216" customFormat="1">
      <c r="A172" s="456"/>
      <c r="B172" s="456"/>
      <c r="C172" s="456"/>
      <c r="D172" s="738"/>
      <c r="E172" s="456"/>
      <c r="F172" s="456"/>
      <c r="G172" s="456"/>
      <c r="H172" s="456"/>
      <c r="I172" s="456"/>
      <c r="J172" s="458"/>
      <c r="K172" s="456"/>
      <c r="L172" s="456"/>
      <c r="M172" s="458"/>
      <c r="N172" s="456"/>
      <c r="O172" s="456"/>
      <c r="P172" s="456"/>
      <c r="Q172" s="456"/>
      <c r="R172" s="456"/>
      <c r="S172" s="456"/>
      <c r="T172" s="456"/>
      <c r="U172" s="456"/>
      <c r="V172" s="456"/>
      <c r="W172" s="456"/>
      <c r="X172" s="456"/>
      <c r="Y172" s="458"/>
      <c r="Z172" s="456"/>
      <c r="AA172" s="456"/>
      <c r="AB172" s="456"/>
      <c r="AC172" s="456"/>
      <c r="AD172" s="456"/>
      <c r="AE172" s="456"/>
      <c r="AF172" s="456"/>
      <c r="AG172" s="456"/>
      <c r="AH172" s="456"/>
      <c r="AI172" s="456"/>
      <c r="AJ172" s="456"/>
    </row>
    <row r="173" spans="1:36" s="216" customFormat="1">
      <c r="A173" s="456"/>
      <c r="B173" s="456"/>
      <c r="C173" s="456"/>
      <c r="D173" s="738"/>
      <c r="E173" s="456"/>
      <c r="F173" s="456"/>
      <c r="G173" s="456"/>
      <c r="H173" s="456"/>
      <c r="I173" s="456"/>
      <c r="J173" s="458"/>
      <c r="K173" s="456"/>
      <c r="L173" s="456"/>
      <c r="M173" s="458"/>
      <c r="N173" s="456"/>
      <c r="O173" s="456"/>
      <c r="P173" s="456"/>
      <c r="Q173" s="456"/>
      <c r="R173" s="456"/>
      <c r="S173" s="456"/>
      <c r="T173" s="456"/>
      <c r="U173" s="456"/>
      <c r="V173" s="456"/>
      <c r="W173" s="456"/>
      <c r="X173" s="456"/>
      <c r="Y173" s="458"/>
      <c r="Z173" s="456"/>
      <c r="AA173" s="456"/>
      <c r="AB173" s="456"/>
      <c r="AC173" s="456"/>
      <c r="AD173" s="456"/>
      <c r="AE173" s="456"/>
      <c r="AF173" s="456"/>
      <c r="AG173" s="456"/>
      <c r="AH173" s="456"/>
      <c r="AI173" s="456"/>
      <c r="AJ173" s="456"/>
    </row>
    <row r="174" spans="1:36" s="216" customFormat="1">
      <c r="A174" s="456"/>
      <c r="B174" s="456"/>
      <c r="C174" s="456"/>
      <c r="D174" s="738"/>
      <c r="E174" s="456"/>
      <c r="F174" s="456"/>
      <c r="G174" s="456"/>
      <c r="H174" s="456"/>
      <c r="I174" s="456"/>
      <c r="J174" s="458"/>
      <c r="K174" s="456"/>
      <c r="L174" s="456"/>
      <c r="M174" s="458"/>
      <c r="N174" s="456"/>
      <c r="O174" s="456"/>
      <c r="P174" s="456"/>
      <c r="Q174" s="456"/>
      <c r="R174" s="456"/>
      <c r="S174" s="456"/>
      <c r="T174" s="456"/>
      <c r="U174" s="456"/>
      <c r="V174" s="456"/>
      <c r="W174" s="456"/>
      <c r="X174" s="456"/>
      <c r="Y174" s="458"/>
      <c r="Z174" s="456"/>
      <c r="AA174" s="456"/>
      <c r="AB174" s="456"/>
      <c r="AC174" s="456"/>
      <c r="AD174" s="456"/>
      <c r="AE174" s="456"/>
      <c r="AF174" s="456"/>
      <c r="AG174" s="456"/>
      <c r="AH174" s="456"/>
      <c r="AI174" s="456"/>
      <c r="AJ174" s="456"/>
    </row>
    <row r="175" spans="1:36" s="216" customFormat="1">
      <c r="A175" s="456"/>
      <c r="B175" s="456"/>
      <c r="C175" s="456"/>
      <c r="D175" s="738"/>
      <c r="E175" s="456"/>
      <c r="F175" s="456"/>
      <c r="G175" s="456"/>
      <c r="H175" s="456"/>
      <c r="I175" s="456"/>
      <c r="J175" s="458"/>
      <c r="K175" s="456"/>
      <c r="L175" s="456"/>
      <c r="M175" s="458"/>
      <c r="N175" s="456"/>
      <c r="O175" s="456"/>
      <c r="P175" s="456"/>
      <c r="Q175" s="456"/>
      <c r="R175" s="456"/>
      <c r="S175" s="456"/>
      <c r="T175" s="456"/>
      <c r="U175" s="456"/>
      <c r="V175" s="456"/>
      <c r="W175" s="456"/>
      <c r="X175" s="456"/>
      <c r="Y175" s="458"/>
      <c r="Z175" s="456"/>
      <c r="AA175" s="456"/>
      <c r="AB175" s="456"/>
      <c r="AC175" s="456"/>
      <c r="AD175" s="456"/>
      <c r="AE175" s="456"/>
      <c r="AF175" s="456"/>
      <c r="AG175" s="456"/>
      <c r="AH175" s="456"/>
      <c r="AI175" s="456"/>
      <c r="AJ175" s="456"/>
    </row>
    <row r="176" spans="1:36" s="216" customFormat="1">
      <c r="A176" s="456"/>
      <c r="B176" s="456"/>
      <c r="C176" s="456"/>
      <c r="D176" s="738"/>
      <c r="E176" s="456"/>
      <c r="F176" s="456"/>
      <c r="G176" s="456"/>
      <c r="H176" s="456"/>
      <c r="I176" s="456"/>
      <c r="J176" s="458"/>
      <c r="K176" s="456"/>
      <c r="L176" s="456"/>
      <c r="M176" s="458"/>
      <c r="N176" s="456"/>
      <c r="O176" s="456"/>
      <c r="P176" s="456"/>
      <c r="Q176" s="456"/>
      <c r="R176" s="456"/>
      <c r="S176" s="456"/>
      <c r="T176" s="456"/>
      <c r="U176" s="456"/>
      <c r="V176" s="456"/>
      <c r="W176" s="456"/>
      <c r="X176" s="456"/>
      <c r="Y176" s="458"/>
      <c r="Z176" s="456"/>
      <c r="AA176" s="456"/>
      <c r="AB176" s="456"/>
      <c r="AC176" s="456"/>
      <c r="AD176" s="456"/>
      <c r="AE176" s="456"/>
      <c r="AF176" s="456"/>
      <c r="AG176" s="456"/>
      <c r="AH176" s="456"/>
      <c r="AI176" s="456"/>
      <c r="AJ176" s="456"/>
    </row>
    <row r="177" spans="1:36" s="216" customFormat="1">
      <c r="A177" s="456"/>
      <c r="B177" s="456"/>
      <c r="C177" s="456"/>
      <c r="D177" s="738"/>
      <c r="E177" s="456"/>
      <c r="F177" s="456"/>
      <c r="G177" s="456"/>
      <c r="H177" s="456"/>
      <c r="I177" s="456"/>
      <c r="J177" s="458"/>
      <c r="K177" s="456"/>
      <c r="L177" s="456"/>
      <c r="M177" s="458"/>
      <c r="N177" s="456"/>
      <c r="O177" s="456"/>
      <c r="P177" s="456"/>
      <c r="Q177" s="456"/>
      <c r="R177" s="456"/>
      <c r="S177" s="456"/>
      <c r="T177" s="456"/>
      <c r="U177" s="456"/>
      <c r="V177" s="456"/>
      <c r="W177" s="456"/>
      <c r="X177" s="456"/>
      <c r="Y177" s="458"/>
      <c r="Z177" s="456"/>
      <c r="AA177" s="456"/>
      <c r="AB177" s="456"/>
      <c r="AC177" s="456"/>
      <c r="AD177" s="456"/>
      <c r="AE177" s="456"/>
      <c r="AF177" s="456"/>
      <c r="AG177" s="456"/>
      <c r="AH177" s="456"/>
      <c r="AI177" s="456"/>
      <c r="AJ177" s="456"/>
    </row>
    <row r="178" spans="1:36" s="216" customFormat="1">
      <c r="A178" s="456"/>
      <c r="B178" s="456"/>
      <c r="C178" s="456"/>
      <c r="D178" s="738"/>
      <c r="E178" s="456"/>
      <c r="F178" s="456"/>
      <c r="G178" s="456"/>
      <c r="H178" s="456"/>
      <c r="I178" s="456"/>
      <c r="J178" s="458"/>
      <c r="K178" s="456"/>
      <c r="L178" s="456"/>
      <c r="M178" s="458"/>
      <c r="N178" s="456"/>
      <c r="O178" s="456"/>
      <c r="P178" s="456"/>
      <c r="Q178" s="456"/>
      <c r="R178" s="456"/>
      <c r="S178" s="456"/>
      <c r="T178" s="456"/>
      <c r="U178" s="456"/>
      <c r="V178" s="456"/>
      <c r="W178" s="456"/>
      <c r="X178" s="456"/>
      <c r="Y178" s="458"/>
      <c r="Z178" s="456"/>
      <c r="AA178" s="456"/>
      <c r="AB178" s="456"/>
      <c r="AC178" s="456"/>
      <c r="AD178" s="456"/>
      <c r="AE178" s="456"/>
      <c r="AF178" s="456"/>
      <c r="AG178" s="456"/>
      <c r="AH178" s="456"/>
      <c r="AI178" s="456"/>
      <c r="AJ178" s="456"/>
    </row>
    <row r="179" spans="1:36" s="216" customFormat="1">
      <c r="A179" s="456"/>
      <c r="B179" s="456"/>
      <c r="C179" s="456"/>
      <c r="D179" s="738"/>
      <c r="E179" s="456"/>
      <c r="F179" s="456"/>
      <c r="G179" s="456"/>
      <c r="H179" s="456"/>
      <c r="I179" s="456"/>
      <c r="J179" s="458"/>
      <c r="K179" s="456"/>
      <c r="L179" s="456"/>
      <c r="M179" s="458"/>
      <c r="N179" s="456"/>
      <c r="O179" s="456"/>
      <c r="P179" s="456"/>
      <c r="Q179" s="456"/>
      <c r="R179" s="456"/>
      <c r="S179" s="456"/>
      <c r="T179" s="456"/>
      <c r="U179" s="456"/>
      <c r="V179" s="456"/>
      <c r="W179" s="456"/>
      <c r="X179" s="456"/>
      <c r="Y179" s="458"/>
      <c r="Z179" s="456"/>
      <c r="AA179" s="456"/>
      <c r="AB179" s="456"/>
      <c r="AC179" s="456"/>
      <c r="AD179" s="456"/>
      <c r="AE179" s="456"/>
      <c r="AF179" s="456"/>
      <c r="AG179" s="456"/>
      <c r="AH179" s="456"/>
      <c r="AI179" s="456"/>
      <c r="AJ179" s="456"/>
    </row>
    <row r="180" spans="1:36" s="216" customFormat="1">
      <c r="A180" s="456"/>
      <c r="B180" s="456"/>
      <c r="C180" s="456"/>
      <c r="D180" s="738"/>
      <c r="E180" s="456"/>
      <c r="F180" s="456"/>
      <c r="G180" s="456"/>
      <c r="H180" s="456"/>
      <c r="I180" s="456"/>
      <c r="J180" s="458"/>
      <c r="K180" s="456"/>
      <c r="L180" s="456"/>
      <c r="M180" s="458"/>
      <c r="N180" s="456"/>
      <c r="O180" s="456"/>
      <c r="P180" s="456"/>
      <c r="Q180" s="456"/>
      <c r="R180" s="456"/>
      <c r="S180" s="456"/>
      <c r="T180" s="456"/>
      <c r="U180" s="456"/>
      <c r="V180" s="456"/>
      <c r="W180" s="456"/>
      <c r="X180" s="456"/>
      <c r="Y180" s="458"/>
      <c r="Z180" s="456"/>
      <c r="AA180" s="456"/>
      <c r="AB180" s="456"/>
      <c r="AC180" s="456"/>
      <c r="AD180" s="456"/>
      <c r="AE180" s="456"/>
      <c r="AF180" s="456"/>
      <c r="AG180" s="456"/>
      <c r="AH180" s="456"/>
      <c r="AI180" s="456"/>
      <c r="AJ180" s="456"/>
    </row>
    <row r="181" spans="1:36" s="216" customFormat="1">
      <c r="A181" s="456"/>
      <c r="B181" s="456"/>
      <c r="C181" s="456"/>
      <c r="D181" s="738"/>
      <c r="E181" s="456"/>
      <c r="F181" s="456"/>
      <c r="G181" s="456"/>
      <c r="H181" s="456"/>
      <c r="I181" s="456"/>
      <c r="J181" s="458"/>
      <c r="K181" s="456"/>
      <c r="L181" s="456"/>
      <c r="M181" s="458"/>
      <c r="N181" s="456"/>
      <c r="O181" s="456"/>
      <c r="P181" s="456"/>
      <c r="Q181" s="456"/>
      <c r="R181" s="456"/>
      <c r="S181" s="456"/>
      <c r="T181" s="456"/>
      <c r="U181" s="456"/>
      <c r="V181" s="456"/>
      <c r="W181" s="456"/>
      <c r="X181" s="456"/>
      <c r="Y181" s="458"/>
      <c r="Z181" s="456"/>
      <c r="AA181" s="456"/>
      <c r="AB181" s="456"/>
      <c r="AC181" s="456"/>
      <c r="AD181" s="456"/>
      <c r="AE181" s="456"/>
      <c r="AF181" s="456"/>
      <c r="AG181" s="456"/>
      <c r="AH181" s="456"/>
      <c r="AI181" s="456"/>
      <c r="AJ181" s="456"/>
    </row>
    <row r="182" spans="1:36" s="216" customFormat="1">
      <c r="A182" s="456"/>
      <c r="B182" s="456"/>
      <c r="C182" s="456"/>
      <c r="D182" s="738"/>
      <c r="E182" s="456"/>
      <c r="F182" s="456"/>
      <c r="G182" s="456"/>
      <c r="H182" s="456"/>
      <c r="I182" s="456"/>
      <c r="J182" s="458"/>
      <c r="K182" s="456"/>
      <c r="L182" s="456"/>
      <c r="M182" s="458"/>
      <c r="N182" s="456"/>
      <c r="O182" s="456"/>
      <c r="P182" s="456"/>
      <c r="Q182" s="456"/>
      <c r="R182" s="456"/>
      <c r="S182" s="456"/>
      <c r="T182" s="456"/>
      <c r="U182" s="456"/>
      <c r="V182" s="456"/>
      <c r="W182" s="456"/>
      <c r="X182" s="456"/>
      <c r="Y182" s="458"/>
      <c r="Z182" s="456"/>
      <c r="AA182" s="456"/>
      <c r="AB182" s="456"/>
      <c r="AC182" s="456"/>
      <c r="AD182" s="456"/>
      <c r="AE182" s="456"/>
      <c r="AF182" s="456"/>
      <c r="AG182" s="456"/>
      <c r="AH182" s="456"/>
      <c r="AI182" s="456"/>
      <c r="AJ182" s="456"/>
    </row>
    <row r="183" spans="1:36" s="216" customFormat="1">
      <c r="A183" s="456"/>
      <c r="B183" s="456"/>
      <c r="C183" s="456"/>
      <c r="D183" s="738"/>
      <c r="E183" s="456"/>
      <c r="F183" s="456"/>
      <c r="G183" s="456"/>
      <c r="H183" s="456"/>
      <c r="I183" s="456"/>
      <c r="J183" s="458"/>
      <c r="K183" s="456"/>
      <c r="L183" s="456"/>
      <c r="M183" s="458"/>
      <c r="N183" s="456"/>
      <c r="O183" s="456"/>
      <c r="P183" s="456"/>
      <c r="Q183" s="456"/>
      <c r="R183" s="456"/>
      <c r="S183" s="456"/>
      <c r="T183" s="456"/>
      <c r="U183" s="456"/>
      <c r="V183" s="456"/>
      <c r="W183" s="456"/>
      <c r="X183" s="456"/>
      <c r="Y183" s="458"/>
      <c r="Z183" s="456"/>
      <c r="AA183" s="456"/>
      <c r="AB183" s="456"/>
      <c r="AC183" s="456"/>
      <c r="AD183" s="456"/>
      <c r="AE183" s="456"/>
      <c r="AF183" s="456"/>
      <c r="AG183" s="456"/>
      <c r="AH183" s="456"/>
      <c r="AI183" s="456"/>
      <c r="AJ183" s="456"/>
    </row>
    <row r="184" spans="1:36" s="216" customFormat="1">
      <c r="A184" s="456"/>
      <c r="B184" s="456"/>
      <c r="C184" s="456"/>
      <c r="D184" s="738"/>
      <c r="E184" s="456"/>
      <c r="F184" s="456"/>
      <c r="G184" s="456"/>
      <c r="H184" s="456"/>
      <c r="I184" s="456"/>
      <c r="J184" s="458"/>
      <c r="K184" s="456"/>
      <c r="L184" s="456"/>
      <c r="M184" s="458"/>
      <c r="N184" s="456"/>
      <c r="O184" s="456"/>
      <c r="P184" s="456"/>
      <c r="Q184" s="456"/>
      <c r="R184" s="456"/>
      <c r="S184" s="456"/>
      <c r="T184" s="456"/>
      <c r="U184" s="456"/>
      <c r="V184" s="456"/>
      <c r="W184" s="456"/>
      <c r="X184" s="456"/>
      <c r="Y184" s="458"/>
      <c r="Z184" s="456"/>
      <c r="AA184" s="456"/>
      <c r="AB184" s="456"/>
      <c r="AC184" s="456"/>
      <c r="AD184" s="456"/>
      <c r="AE184" s="456"/>
      <c r="AF184" s="456"/>
      <c r="AG184" s="456"/>
      <c r="AH184" s="456"/>
      <c r="AI184" s="456"/>
      <c r="AJ184" s="456"/>
    </row>
    <row r="185" spans="1:36" s="216" customFormat="1">
      <c r="A185" s="456"/>
      <c r="B185" s="456"/>
      <c r="C185" s="456"/>
      <c r="D185" s="738"/>
      <c r="E185" s="456"/>
      <c r="F185" s="456"/>
      <c r="G185" s="456"/>
      <c r="H185" s="456"/>
      <c r="I185" s="456"/>
      <c r="J185" s="458"/>
      <c r="K185" s="456"/>
      <c r="L185" s="456"/>
      <c r="M185" s="458"/>
      <c r="N185" s="456"/>
      <c r="O185" s="456"/>
      <c r="P185" s="456"/>
      <c r="Q185" s="456"/>
      <c r="R185" s="456"/>
      <c r="S185" s="456"/>
      <c r="T185" s="456"/>
      <c r="U185" s="456"/>
      <c r="V185" s="456"/>
      <c r="W185" s="456"/>
      <c r="X185" s="456"/>
      <c r="Y185" s="458"/>
      <c r="Z185" s="456"/>
      <c r="AA185" s="456"/>
      <c r="AB185" s="456"/>
      <c r="AC185" s="456"/>
      <c r="AD185" s="456"/>
      <c r="AE185" s="456"/>
      <c r="AF185" s="456"/>
      <c r="AG185" s="456"/>
      <c r="AH185" s="456"/>
      <c r="AI185" s="456"/>
      <c r="AJ185" s="456"/>
    </row>
    <row r="186" spans="1:36" s="216" customFormat="1">
      <c r="A186" s="456"/>
      <c r="B186" s="456"/>
      <c r="C186" s="456"/>
      <c r="D186" s="738"/>
      <c r="E186" s="456"/>
      <c r="F186" s="456"/>
      <c r="G186" s="456"/>
      <c r="H186" s="456"/>
      <c r="I186" s="456"/>
      <c r="J186" s="458"/>
      <c r="K186" s="456"/>
      <c r="L186" s="456"/>
      <c r="M186" s="458"/>
      <c r="N186" s="456"/>
      <c r="O186" s="456"/>
      <c r="P186" s="456"/>
      <c r="Q186" s="456"/>
      <c r="R186" s="456"/>
      <c r="S186" s="456"/>
      <c r="T186" s="456"/>
      <c r="U186" s="456"/>
      <c r="V186" s="456"/>
      <c r="W186" s="456"/>
      <c r="X186" s="456"/>
      <c r="Y186" s="458"/>
      <c r="Z186" s="456"/>
      <c r="AA186" s="456"/>
      <c r="AB186" s="456"/>
      <c r="AC186" s="456"/>
      <c r="AD186" s="456"/>
      <c r="AE186" s="456"/>
      <c r="AF186" s="456"/>
      <c r="AG186" s="456"/>
      <c r="AH186" s="456"/>
      <c r="AI186" s="456"/>
      <c r="AJ186" s="456"/>
    </row>
    <row r="187" spans="1:36" s="216" customFormat="1">
      <c r="A187" s="456"/>
      <c r="B187" s="456"/>
      <c r="C187" s="456"/>
      <c r="D187" s="738"/>
      <c r="E187" s="456"/>
      <c r="F187" s="456"/>
      <c r="G187" s="456"/>
      <c r="H187" s="456"/>
      <c r="I187" s="456"/>
      <c r="J187" s="458"/>
      <c r="K187" s="456"/>
      <c r="L187" s="456"/>
      <c r="M187" s="458"/>
      <c r="N187" s="456"/>
      <c r="O187" s="456"/>
      <c r="P187" s="456"/>
      <c r="Q187" s="456"/>
      <c r="R187" s="456"/>
      <c r="S187" s="456"/>
      <c r="T187" s="456"/>
      <c r="U187" s="456"/>
      <c r="V187" s="456"/>
      <c r="W187" s="456"/>
      <c r="X187" s="456"/>
      <c r="Y187" s="458"/>
      <c r="Z187" s="456"/>
      <c r="AA187" s="456"/>
      <c r="AB187" s="456"/>
      <c r="AC187" s="456"/>
      <c r="AD187" s="456"/>
      <c r="AE187" s="456"/>
      <c r="AF187" s="456"/>
      <c r="AG187" s="456"/>
      <c r="AH187" s="456"/>
      <c r="AI187" s="456"/>
      <c r="AJ187" s="456"/>
    </row>
    <row r="188" spans="1:36" s="216" customFormat="1">
      <c r="D188" s="733"/>
      <c r="F188" s="456"/>
      <c r="G188" s="456"/>
      <c r="H188" s="456"/>
      <c r="I188" s="456"/>
      <c r="J188" s="458"/>
      <c r="K188" s="456"/>
      <c r="L188" s="456"/>
      <c r="M188" s="458"/>
      <c r="N188" s="456"/>
      <c r="O188" s="456"/>
      <c r="P188" s="456"/>
      <c r="Q188" s="456"/>
      <c r="R188" s="456"/>
      <c r="S188" s="456"/>
      <c r="T188" s="456"/>
      <c r="U188" s="456"/>
      <c r="V188" s="456"/>
      <c r="W188" s="456"/>
      <c r="X188" s="456"/>
      <c r="Y188" s="458"/>
      <c r="Z188" s="456"/>
      <c r="AA188" s="456"/>
      <c r="AB188" s="456"/>
      <c r="AH188" s="456"/>
      <c r="AI188" s="456"/>
      <c r="AJ188" s="456"/>
    </row>
    <row r="189" spans="1:36" s="216" customFormat="1">
      <c r="D189" s="733"/>
      <c r="F189" s="456"/>
      <c r="G189" s="456"/>
      <c r="H189" s="456"/>
      <c r="I189" s="456"/>
      <c r="J189" s="458"/>
      <c r="K189" s="456"/>
      <c r="L189" s="456"/>
      <c r="M189" s="458"/>
      <c r="N189" s="456"/>
      <c r="O189" s="456"/>
      <c r="P189" s="456"/>
      <c r="Q189" s="456"/>
      <c r="R189" s="456"/>
      <c r="S189" s="456"/>
      <c r="T189" s="456"/>
      <c r="U189" s="456"/>
      <c r="V189" s="456"/>
      <c r="W189" s="456"/>
      <c r="X189" s="456"/>
      <c r="Y189" s="458"/>
      <c r="Z189" s="456"/>
      <c r="AA189" s="456"/>
      <c r="AB189" s="456"/>
      <c r="AH189" s="456"/>
      <c r="AI189" s="456"/>
      <c r="AJ189" s="456"/>
    </row>
    <row r="190" spans="1:36" s="216" customFormat="1">
      <c r="D190" s="733"/>
      <c r="F190" s="456"/>
      <c r="G190" s="456"/>
      <c r="H190" s="456"/>
      <c r="I190" s="456"/>
      <c r="J190" s="458"/>
      <c r="K190" s="456"/>
      <c r="L190" s="456"/>
      <c r="M190" s="458"/>
      <c r="N190" s="456"/>
      <c r="O190" s="456"/>
      <c r="P190" s="456"/>
      <c r="Q190" s="456"/>
      <c r="R190" s="456"/>
      <c r="S190" s="456"/>
      <c r="T190" s="456"/>
      <c r="U190" s="456"/>
      <c r="V190" s="456"/>
      <c r="W190" s="456"/>
      <c r="X190" s="456"/>
      <c r="Y190" s="458"/>
      <c r="Z190" s="456"/>
      <c r="AA190" s="456"/>
      <c r="AB190" s="456"/>
      <c r="AH190" s="456"/>
      <c r="AI190" s="456"/>
      <c r="AJ190" s="456"/>
    </row>
    <row r="191" spans="1:36" s="216" customFormat="1">
      <c r="D191" s="733"/>
      <c r="F191" s="456"/>
      <c r="G191" s="456"/>
      <c r="H191" s="456"/>
      <c r="I191" s="456"/>
      <c r="J191" s="458"/>
      <c r="K191" s="456"/>
      <c r="L191" s="456"/>
      <c r="M191" s="458"/>
      <c r="N191" s="456"/>
      <c r="O191" s="456"/>
      <c r="P191" s="456"/>
      <c r="Q191" s="456"/>
      <c r="R191" s="456"/>
      <c r="S191" s="456"/>
      <c r="T191" s="456"/>
      <c r="U191" s="456"/>
      <c r="V191" s="456"/>
      <c r="W191" s="456"/>
      <c r="X191" s="456"/>
      <c r="Y191" s="458"/>
      <c r="Z191" s="456"/>
      <c r="AA191" s="456"/>
      <c r="AB191" s="456"/>
      <c r="AH191" s="456"/>
      <c r="AI191" s="456"/>
      <c r="AJ191" s="456"/>
    </row>
    <row r="192" spans="1:36" s="216" customFormat="1">
      <c r="D192" s="733"/>
      <c r="F192" s="456"/>
      <c r="G192" s="456"/>
      <c r="H192" s="456"/>
      <c r="I192" s="456"/>
      <c r="J192" s="458"/>
      <c r="K192" s="456"/>
      <c r="L192" s="456"/>
      <c r="M192" s="458"/>
      <c r="N192" s="456"/>
      <c r="O192" s="456"/>
      <c r="P192" s="456"/>
      <c r="Q192" s="456"/>
      <c r="R192" s="456"/>
      <c r="S192" s="456"/>
      <c r="T192" s="456"/>
      <c r="U192" s="456"/>
      <c r="V192" s="456"/>
      <c r="W192" s="456"/>
      <c r="X192" s="456"/>
      <c r="Y192" s="458"/>
      <c r="Z192" s="456"/>
      <c r="AA192" s="456"/>
      <c r="AB192" s="456"/>
      <c r="AH192" s="456"/>
      <c r="AI192" s="456"/>
      <c r="AJ192" s="456"/>
    </row>
    <row r="193" spans="4:36" s="216" customFormat="1">
      <c r="D193" s="733"/>
      <c r="F193" s="456"/>
      <c r="G193" s="456"/>
      <c r="H193" s="456"/>
      <c r="I193" s="456"/>
      <c r="J193" s="458"/>
      <c r="K193" s="456"/>
      <c r="L193" s="456"/>
      <c r="M193" s="458"/>
      <c r="N193" s="456"/>
      <c r="O193" s="456"/>
      <c r="P193" s="456"/>
      <c r="Q193" s="456"/>
      <c r="R193" s="456"/>
      <c r="S193" s="456"/>
      <c r="T193" s="456"/>
      <c r="U193" s="456"/>
      <c r="V193" s="456"/>
      <c r="W193" s="456"/>
      <c r="X193" s="456"/>
      <c r="Y193" s="458"/>
      <c r="Z193" s="456"/>
      <c r="AA193" s="456"/>
      <c r="AB193" s="456"/>
      <c r="AH193" s="456"/>
      <c r="AI193" s="456"/>
      <c r="AJ193" s="456"/>
    </row>
    <row r="194" spans="4:36" s="216" customFormat="1">
      <c r="D194" s="733"/>
      <c r="F194" s="456"/>
      <c r="G194" s="456"/>
      <c r="H194" s="456"/>
      <c r="I194" s="456"/>
      <c r="J194" s="458"/>
      <c r="K194" s="456"/>
      <c r="L194" s="456"/>
      <c r="M194" s="458"/>
      <c r="N194" s="456"/>
      <c r="O194" s="456"/>
      <c r="P194" s="456"/>
      <c r="Q194" s="456"/>
      <c r="R194" s="456"/>
      <c r="S194" s="456"/>
      <c r="T194" s="456"/>
      <c r="U194" s="456"/>
      <c r="V194" s="456"/>
      <c r="W194" s="456"/>
      <c r="X194" s="456"/>
      <c r="Y194" s="458"/>
      <c r="Z194" s="456"/>
      <c r="AA194" s="456"/>
      <c r="AB194" s="456"/>
      <c r="AH194" s="456"/>
      <c r="AI194" s="456"/>
      <c r="AJ194" s="456"/>
    </row>
    <row r="195" spans="4:36" s="216" customFormat="1">
      <c r="D195" s="733"/>
      <c r="F195" s="456"/>
      <c r="G195" s="456"/>
      <c r="H195" s="456"/>
      <c r="I195" s="456"/>
      <c r="J195" s="458"/>
      <c r="K195" s="456"/>
      <c r="L195" s="456"/>
      <c r="M195" s="458"/>
      <c r="N195" s="456"/>
      <c r="O195" s="456"/>
      <c r="P195" s="456"/>
      <c r="Q195" s="456"/>
      <c r="R195" s="456"/>
      <c r="S195" s="456"/>
      <c r="T195" s="456"/>
      <c r="U195" s="456"/>
      <c r="V195" s="456"/>
      <c r="W195" s="456"/>
      <c r="X195" s="456"/>
      <c r="Y195" s="458"/>
      <c r="Z195" s="456"/>
      <c r="AA195" s="456"/>
      <c r="AB195" s="456"/>
      <c r="AH195" s="456"/>
      <c r="AI195" s="456"/>
      <c r="AJ195" s="456"/>
    </row>
    <row r="196" spans="4:36" s="216" customFormat="1">
      <c r="D196" s="733"/>
      <c r="F196" s="456"/>
      <c r="G196" s="456"/>
      <c r="H196" s="456"/>
      <c r="I196" s="456"/>
      <c r="J196" s="458"/>
      <c r="K196" s="456"/>
      <c r="L196" s="456"/>
      <c r="M196" s="458"/>
      <c r="N196" s="456"/>
      <c r="O196" s="456"/>
      <c r="P196" s="456"/>
      <c r="Q196" s="456"/>
      <c r="R196" s="456"/>
      <c r="S196" s="456"/>
      <c r="T196" s="456"/>
      <c r="U196" s="456"/>
      <c r="V196" s="456"/>
      <c r="W196" s="456"/>
      <c r="X196" s="456"/>
      <c r="Y196" s="458"/>
      <c r="Z196" s="456"/>
      <c r="AA196" s="456"/>
      <c r="AB196" s="456"/>
      <c r="AH196" s="456"/>
      <c r="AI196" s="456"/>
      <c r="AJ196" s="456"/>
    </row>
    <row r="197" spans="4:36" s="216" customFormat="1">
      <c r="D197" s="733"/>
      <c r="F197" s="456"/>
      <c r="G197" s="456"/>
      <c r="H197" s="456"/>
      <c r="I197" s="456"/>
      <c r="J197" s="458"/>
      <c r="K197" s="456"/>
      <c r="L197" s="456"/>
      <c r="M197" s="458"/>
      <c r="N197" s="456"/>
      <c r="O197" s="456"/>
      <c r="P197" s="456"/>
      <c r="Q197" s="456"/>
      <c r="R197" s="456"/>
      <c r="S197" s="456"/>
      <c r="T197" s="456"/>
      <c r="U197" s="456"/>
      <c r="V197" s="456"/>
      <c r="W197" s="456"/>
      <c r="X197" s="456"/>
      <c r="Y197" s="458"/>
      <c r="Z197" s="456"/>
      <c r="AA197" s="456"/>
      <c r="AB197" s="456"/>
      <c r="AH197" s="456"/>
      <c r="AI197" s="456"/>
      <c r="AJ197" s="456"/>
    </row>
  </sheetData>
  <autoFilter ref="A9:E45"/>
  <mergeCells count="16">
    <mergeCell ref="A1:C1"/>
    <mergeCell ref="A2:B2"/>
    <mergeCell ref="A3:B3"/>
    <mergeCell ref="A4:C4"/>
    <mergeCell ref="A7:C7"/>
    <mergeCell ref="B5:C5"/>
    <mergeCell ref="B6:C6"/>
    <mergeCell ref="B51:C51"/>
    <mergeCell ref="B52:C52"/>
    <mergeCell ref="A8:C8"/>
    <mergeCell ref="A54:C54"/>
    <mergeCell ref="A47:C47"/>
    <mergeCell ref="A48:B48"/>
    <mergeCell ref="A49:B49"/>
    <mergeCell ref="A50:C50"/>
    <mergeCell ref="A53:C53"/>
  </mergeCells>
  <conditionalFormatting sqref="B110:E112">
    <cfRule type="cellIs" dxfId="0" priority="2" operator="lessThan">
      <formula>0</formula>
    </cfRule>
  </conditionalFormatting>
  <pageMargins left="0.70866141732283472" right="0.70866141732283472" top="0.74803149606299213" bottom="0.74803149606299213" header="0.31496062992125984" footer="0.31496062992125984"/>
  <pageSetup paperSize="9" scale="51" orientation="portrait" r:id="rId1"/>
  <legacyDrawing r:id="rId2"/>
</worksheet>
</file>

<file path=xl/worksheets/sheet7.xml><?xml version="1.0" encoding="utf-8"?>
<worksheet xmlns="http://schemas.openxmlformats.org/spreadsheetml/2006/main" xmlns:r="http://schemas.openxmlformats.org/officeDocument/2006/relationships">
  <sheetPr>
    <tabColor theme="1" tint="0.34998626667073579"/>
    <pageSetUpPr fitToPage="1"/>
  </sheetPr>
  <dimension ref="B2:AV119"/>
  <sheetViews>
    <sheetView topLeftCell="A13" zoomScale="70" zoomScaleNormal="70" zoomScaleSheetLayoutView="70" workbookViewId="0">
      <selection activeCell="D44" sqref="D44"/>
    </sheetView>
  </sheetViews>
  <sheetFormatPr baseColWidth="10" defaultColWidth="11.42578125" defaultRowHeight="12.75"/>
  <cols>
    <col min="1" max="1" width="22" style="425" customWidth="1"/>
    <col min="2" max="2" width="57.7109375" style="425" customWidth="1"/>
    <col min="3" max="5" width="16.42578125" style="425" customWidth="1"/>
    <col min="6" max="8" width="16.42578125" style="508" customWidth="1"/>
    <col min="9" max="9" width="18.5703125" style="508" customWidth="1"/>
    <col min="10" max="20" width="16" style="508" customWidth="1"/>
    <col min="21" max="22" width="12.42578125" style="425" customWidth="1"/>
    <col min="23" max="23" width="11.42578125" style="425" customWidth="1"/>
    <col min="24" max="24" width="50.5703125" style="425" customWidth="1"/>
    <col min="25" max="29" width="11.42578125" style="425" hidden="1" customWidth="1"/>
    <col min="30" max="30" width="12.85546875" style="425" hidden="1" customWidth="1"/>
    <col min="31" max="32" width="12.85546875" style="425" customWidth="1"/>
    <col min="33" max="35" width="13" style="425" customWidth="1"/>
    <col min="36" max="36" width="15.7109375" style="425" customWidth="1"/>
    <col min="37" max="16384" width="11.42578125" style="425"/>
  </cols>
  <sheetData>
    <row r="2" spans="2:48">
      <c r="I2" s="508">
        <v>1</v>
      </c>
      <c r="J2" s="508">
        <v>2</v>
      </c>
      <c r="K2" s="508">
        <v>3</v>
      </c>
      <c r="L2" s="508">
        <v>4</v>
      </c>
      <c r="M2" s="508">
        <v>5</v>
      </c>
      <c r="N2" s="508">
        <v>6</v>
      </c>
      <c r="O2" s="508">
        <v>7</v>
      </c>
      <c r="P2" s="508">
        <v>8</v>
      </c>
      <c r="Q2" s="508">
        <v>9</v>
      </c>
      <c r="R2" s="508">
        <v>10</v>
      </c>
      <c r="S2" s="508">
        <v>11</v>
      </c>
      <c r="T2" s="508">
        <v>12</v>
      </c>
    </row>
    <row r="3" spans="2:48" ht="15.75">
      <c r="B3" s="502" t="s">
        <v>592</v>
      </c>
      <c r="C3" s="749" t="s">
        <v>602</v>
      </c>
      <c r="D3" s="750" t="s">
        <v>603</v>
      </c>
      <c r="E3" s="750" t="s">
        <v>604</v>
      </c>
      <c r="F3" s="749" t="s">
        <v>593</v>
      </c>
      <c r="G3" s="750" t="s">
        <v>594</v>
      </c>
      <c r="H3" s="750" t="s">
        <v>595</v>
      </c>
      <c r="I3" s="509" t="s">
        <v>596</v>
      </c>
      <c r="J3" s="509" t="s">
        <v>597</v>
      </c>
      <c r="K3" s="509" t="s">
        <v>598</v>
      </c>
      <c r="L3" s="509" t="s">
        <v>599</v>
      </c>
      <c r="M3" s="509" t="s">
        <v>600</v>
      </c>
      <c r="N3" s="509" t="s">
        <v>601</v>
      </c>
      <c r="O3" s="509" t="s">
        <v>602</v>
      </c>
      <c r="P3" s="509" t="s">
        <v>603</v>
      </c>
      <c r="Q3" s="509" t="s">
        <v>604</v>
      </c>
      <c r="R3" s="509" t="s">
        <v>593</v>
      </c>
      <c r="S3" s="509" t="s">
        <v>594</v>
      </c>
      <c r="T3" s="509" t="s">
        <v>595</v>
      </c>
      <c r="X3" s="661" t="s">
        <v>592</v>
      </c>
      <c r="Y3" s="662" t="s">
        <v>596</v>
      </c>
      <c r="Z3" s="662" t="s">
        <v>597</v>
      </c>
      <c r="AA3" s="662" t="s">
        <v>598</v>
      </c>
      <c r="AB3" s="662" t="s">
        <v>599</v>
      </c>
      <c r="AC3" s="662" t="s">
        <v>600</v>
      </c>
      <c r="AD3" s="662" t="s">
        <v>601</v>
      </c>
      <c r="AE3" s="662" t="s">
        <v>602</v>
      </c>
      <c r="AF3" s="662" t="s">
        <v>603</v>
      </c>
      <c r="AG3" s="662" t="s">
        <v>604</v>
      </c>
      <c r="AH3" s="662" t="s">
        <v>593</v>
      </c>
      <c r="AI3" s="662" t="s">
        <v>594</v>
      </c>
      <c r="AJ3" s="662" t="s">
        <v>595</v>
      </c>
      <c r="AK3" s="663" t="s">
        <v>596</v>
      </c>
      <c r="AL3" s="663" t="s">
        <v>597</v>
      </c>
      <c r="AM3" s="663" t="s">
        <v>598</v>
      </c>
      <c r="AN3" s="662" t="s">
        <v>599</v>
      </c>
      <c r="AO3" s="662" t="s">
        <v>600</v>
      </c>
      <c r="AP3" s="662" t="s">
        <v>601</v>
      </c>
      <c r="AQ3" s="662" t="s">
        <v>602</v>
      </c>
      <c r="AR3" s="662" t="s">
        <v>603</v>
      </c>
      <c r="AS3" s="662" t="s">
        <v>604</v>
      </c>
      <c r="AT3" s="662" t="s">
        <v>593</v>
      </c>
      <c r="AU3" s="662" t="s">
        <v>594</v>
      </c>
      <c r="AV3" s="662" t="s">
        <v>595</v>
      </c>
    </row>
    <row r="4" spans="2:48" ht="15.75">
      <c r="B4" s="517" t="s">
        <v>605</v>
      </c>
      <c r="C4" s="748"/>
      <c r="D4" s="748"/>
      <c r="E4" s="748"/>
      <c r="F4" s="518"/>
      <c r="G4" s="518"/>
      <c r="H4" s="518"/>
      <c r="I4" s="518"/>
      <c r="J4" s="518"/>
      <c r="K4" s="518"/>
      <c r="L4" s="518"/>
      <c r="M4" s="518"/>
      <c r="N4" s="518"/>
      <c r="O4" s="518"/>
      <c r="P4" s="518"/>
      <c r="Q4" s="518"/>
      <c r="R4" s="518"/>
      <c r="S4" s="518"/>
      <c r="T4" s="518"/>
      <c r="X4" s="664" t="s">
        <v>605</v>
      </c>
      <c r="Y4" s="665"/>
      <c r="Z4" s="665"/>
      <c r="AA4" s="665"/>
      <c r="AB4" s="665"/>
      <c r="AC4" s="665"/>
      <c r="AD4" s="665"/>
      <c r="AE4" s="665"/>
      <c r="AF4" s="665"/>
      <c r="AG4" s="665"/>
      <c r="AH4" s="665"/>
      <c r="AI4" s="665"/>
      <c r="AJ4" s="665"/>
      <c r="AK4" s="665"/>
      <c r="AL4" s="665"/>
      <c r="AM4" s="665"/>
      <c r="AN4" s="665"/>
      <c r="AO4" s="665"/>
      <c r="AP4" s="665"/>
      <c r="AQ4" s="665"/>
      <c r="AR4" s="665"/>
      <c r="AS4" s="665"/>
      <c r="AT4" s="665"/>
      <c r="AU4" s="665"/>
      <c r="AV4" s="665"/>
    </row>
    <row r="5" spans="2:48" ht="15.75">
      <c r="B5" s="503" t="s">
        <v>606</v>
      </c>
      <c r="C5" s="751">
        <v>14509350.840000004</v>
      </c>
      <c r="D5" s="510">
        <v>11742638.836370412</v>
      </c>
      <c r="E5" s="510">
        <v>9831677.5361055508</v>
      </c>
      <c r="F5" s="510">
        <v>11432214.970808249</v>
      </c>
      <c r="G5" s="510">
        <v>15054575.866562929</v>
      </c>
      <c r="H5" s="510">
        <v>22520250.124440864</v>
      </c>
      <c r="I5" s="510">
        <f t="shared" ref="I5:T5" si="0">H56</f>
        <v>18657827.351179142</v>
      </c>
      <c r="J5" s="510" t="e">
        <f t="shared" si="0"/>
        <v>#REF!</v>
      </c>
      <c r="K5" s="510" t="e">
        <f t="shared" si="0"/>
        <v>#REF!</v>
      </c>
      <c r="L5" s="510" t="e">
        <f t="shared" si="0"/>
        <v>#REF!</v>
      </c>
      <c r="M5" s="510" t="e">
        <f t="shared" si="0"/>
        <v>#REF!</v>
      </c>
      <c r="N5" s="510" t="e">
        <f t="shared" si="0"/>
        <v>#REF!</v>
      </c>
      <c r="O5" s="510" t="e">
        <f t="shared" si="0"/>
        <v>#REF!</v>
      </c>
      <c r="P5" s="510" t="e">
        <f t="shared" si="0"/>
        <v>#REF!</v>
      </c>
      <c r="Q5" s="510" t="e">
        <f t="shared" si="0"/>
        <v>#REF!</v>
      </c>
      <c r="R5" s="510" t="e">
        <f t="shared" si="0"/>
        <v>#REF!</v>
      </c>
      <c r="S5" s="510" t="e">
        <f t="shared" si="0"/>
        <v>#REF!</v>
      </c>
      <c r="T5" s="510" t="e">
        <f t="shared" si="0"/>
        <v>#REF!</v>
      </c>
      <c r="U5" s="530" t="s">
        <v>651</v>
      </c>
      <c r="X5" s="666" t="s">
        <v>606</v>
      </c>
      <c r="Y5" s="667">
        <v>21834403.32</v>
      </c>
      <c r="Z5" s="668">
        <v>17374888.449999999</v>
      </c>
      <c r="AA5" s="668">
        <v>14673966.859999999</v>
      </c>
      <c r="AB5" s="668">
        <v>10308975.26</v>
      </c>
      <c r="AC5" s="668">
        <v>4603161.5099999988</v>
      </c>
      <c r="AD5" s="668">
        <v>7433847.7799999993</v>
      </c>
      <c r="AE5" s="668">
        <v>6179091.3099999996</v>
      </c>
      <c r="AF5" s="669">
        <v>7894268.8867878839</v>
      </c>
      <c r="AG5" s="668">
        <v>13875039.944914818</v>
      </c>
      <c r="AH5" s="668">
        <v>17541290.652209073</v>
      </c>
      <c r="AI5" s="670">
        <v>16007557.85238399</v>
      </c>
      <c r="AJ5" s="670">
        <v>14072273.313119592</v>
      </c>
      <c r="AK5" s="670"/>
      <c r="AL5" s="670"/>
      <c r="AM5" s="670"/>
      <c r="AN5" s="670"/>
      <c r="AO5" s="670"/>
      <c r="AP5" s="670"/>
      <c r="AQ5" s="670"/>
      <c r="AR5" s="670"/>
      <c r="AS5" s="670"/>
      <c r="AT5" s="670"/>
      <c r="AU5" s="670"/>
      <c r="AV5" s="670"/>
    </row>
    <row r="6" spans="2:48" ht="15.75">
      <c r="B6" s="502" t="s">
        <v>607</v>
      </c>
      <c r="C6" s="511">
        <v>1504857.1249220676</v>
      </c>
      <c r="D6" s="511">
        <v>1329717.6556192557</v>
      </c>
      <c r="E6" s="511">
        <v>1574551.0115900924</v>
      </c>
      <c r="F6" s="511">
        <v>1865268.6305002715</v>
      </c>
      <c r="G6" s="511">
        <v>1788552.0907974201</v>
      </c>
      <c r="H6" s="511">
        <v>1730915.7268251125</v>
      </c>
      <c r="I6" s="524" t="e">
        <f>#REF!*1000*1.03+#REF!*1000/12*1.03</f>
        <v>#REF!</v>
      </c>
      <c r="J6" s="524" t="e">
        <f>#REF!*1000*1.03+#REF!*1000/12*1.03</f>
        <v>#REF!</v>
      </c>
      <c r="K6" s="524" t="e">
        <f>#REF!*1000*1.03+#REF!*1000/12*1.03</f>
        <v>#REF!</v>
      </c>
      <c r="L6" s="524" t="e">
        <f>#REF!*1000*1.03+#REF!*1000/12*1.03</f>
        <v>#REF!</v>
      </c>
      <c r="M6" s="524" t="e">
        <f>#REF!*1000*1.03+#REF!*1000/12*1.03</f>
        <v>#REF!</v>
      </c>
      <c r="N6" s="524" t="e">
        <f>#REF!*1000*1.03+#REF!*1000/12*1.03</f>
        <v>#REF!</v>
      </c>
      <c r="O6" s="524" t="e">
        <f>#REF!*1000*1.03+#REF!*1000/12*1.03</f>
        <v>#REF!</v>
      </c>
      <c r="P6" s="524" t="e">
        <f>#REF!*1000*1.03+#REF!*1000/12*1.03</f>
        <v>#REF!</v>
      </c>
      <c r="Q6" s="524" t="e">
        <f>#REF!*1000*1.03+#REF!*1000/12*1.03</f>
        <v>#REF!</v>
      </c>
      <c r="R6" s="524" t="e">
        <f>#REF!*1000*1.03+#REF!*1000/12*1.03</f>
        <v>#REF!</v>
      </c>
      <c r="S6" s="524" t="e">
        <f>#REF!*1000*1.03+#REF!*1000/12*1.03</f>
        <v>#REF!</v>
      </c>
      <c r="T6" s="524" t="e">
        <f>#REF!*1000*1.03+#REF!*1000/12*1.03</f>
        <v>#REF!</v>
      </c>
      <c r="U6" s="531" t="e">
        <f>SUM(I6:T6)-'Info Pasajeros e Ingresos P20'!BK113*1000</f>
        <v>#REF!</v>
      </c>
      <c r="X6" s="661" t="s">
        <v>607</v>
      </c>
      <c r="Y6" s="671">
        <v>1564568.8399999996</v>
      </c>
      <c r="Z6" s="671">
        <v>1160951.57</v>
      </c>
      <c r="AA6" s="671">
        <v>1371281.3999999994</v>
      </c>
      <c r="AB6" s="671">
        <v>1232348.8599999989</v>
      </c>
      <c r="AC6" s="671">
        <v>1322420.9299999997</v>
      </c>
      <c r="AD6" s="672">
        <v>1497410.7599999991</v>
      </c>
      <c r="AE6" s="673">
        <v>1605455.2895972668</v>
      </c>
      <c r="AF6" s="674">
        <v>1412836.7363118317</v>
      </c>
      <c r="AG6" s="671">
        <v>1643247.6667296959</v>
      </c>
      <c r="AH6" s="675">
        <v>2008984.631190792</v>
      </c>
      <c r="AI6" s="675">
        <v>1862461.9700961236</v>
      </c>
      <c r="AJ6" s="675">
        <v>1795669.8487481787</v>
      </c>
      <c r="AK6" s="671"/>
      <c r="AL6" s="671"/>
      <c r="AM6" s="671"/>
      <c r="AN6" s="671"/>
      <c r="AO6" s="671"/>
      <c r="AP6" s="671"/>
      <c r="AQ6" s="671"/>
      <c r="AR6" s="671"/>
      <c r="AS6" s="671"/>
      <c r="AT6" s="671"/>
      <c r="AU6" s="671"/>
      <c r="AV6" s="671"/>
    </row>
    <row r="7" spans="2:48" ht="15.75">
      <c r="B7" s="502" t="s">
        <v>608</v>
      </c>
      <c r="C7" s="511">
        <v>38376.097777777752</v>
      </c>
      <c r="D7" s="511">
        <v>38376.097777777752</v>
      </c>
      <c r="E7" s="511">
        <v>38376.097777777752</v>
      </c>
      <c r="F7" s="511">
        <v>38376.097777777752</v>
      </c>
      <c r="G7" s="511">
        <v>38376.097777777752</v>
      </c>
      <c r="H7" s="511">
        <v>38376.097777777752</v>
      </c>
      <c r="I7" s="524" t="e">
        <f>#REF!/12</f>
        <v>#REF!</v>
      </c>
      <c r="J7" s="524" t="e">
        <f>#REF!/12</f>
        <v>#REF!</v>
      </c>
      <c r="K7" s="524" t="e">
        <f>#REF!/12</f>
        <v>#REF!</v>
      </c>
      <c r="L7" s="524" t="e">
        <f>#REF!/12</f>
        <v>#REF!</v>
      </c>
      <c r="M7" s="524" t="e">
        <f>#REF!/12</f>
        <v>#REF!</v>
      </c>
      <c r="N7" s="524" t="e">
        <f>#REF!/12</f>
        <v>#REF!</v>
      </c>
      <c r="O7" s="524" t="e">
        <f>#REF!/12</f>
        <v>#REF!</v>
      </c>
      <c r="P7" s="524" t="e">
        <f>#REF!/12</f>
        <v>#REF!</v>
      </c>
      <c r="Q7" s="524" t="e">
        <f>#REF!/12</f>
        <v>#REF!</v>
      </c>
      <c r="R7" s="524" t="e">
        <f>#REF!/12</f>
        <v>#REF!</v>
      </c>
      <c r="S7" s="524" t="e">
        <f>#REF!/12</f>
        <v>#REF!</v>
      </c>
      <c r="T7" s="524" t="e">
        <f>#REF!/12</f>
        <v>#REF!</v>
      </c>
      <c r="X7" s="661" t="s">
        <v>608</v>
      </c>
      <c r="Y7" s="671">
        <v>8675.7799999999988</v>
      </c>
      <c r="Z7" s="671">
        <v>19251.490000000002</v>
      </c>
      <c r="AA7" s="671">
        <v>33881.07</v>
      </c>
      <c r="AB7" s="671">
        <v>21998.080000000002</v>
      </c>
      <c r="AC7" s="671">
        <v>27259.71</v>
      </c>
      <c r="AD7" s="676">
        <v>61139.17</v>
      </c>
      <c r="AE7" s="673">
        <v>34709.43111111108</v>
      </c>
      <c r="AF7" s="674">
        <v>34709.43111111108</v>
      </c>
      <c r="AG7" s="671">
        <v>34709.43111111108</v>
      </c>
      <c r="AH7" s="671">
        <v>34709.43111111108</v>
      </c>
      <c r="AI7" s="671">
        <v>34709.43111111108</v>
      </c>
      <c r="AJ7" s="671">
        <v>34709.43111111108</v>
      </c>
      <c r="AK7" s="671"/>
      <c r="AL7" s="671"/>
      <c r="AM7" s="671"/>
      <c r="AN7" s="671"/>
      <c r="AO7" s="671"/>
      <c r="AP7" s="671"/>
      <c r="AQ7" s="408"/>
      <c r="AR7" s="408"/>
      <c r="AS7" s="408"/>
      <c r="AT7" s="408"/>
      <c r="AU7" s="408"/>
      <c r="AV7" s="408"/>
    </row>
    <row r="8" spans="2:48" ht="15.75">
      <c r="B8" s="502" t="s">
        <v>609</v>
      </c>
      <c r="C8" s="511">
        <v>151403.18166666699</v>
      </c>
      <c r="D8" s="511">
        <v>101403.18166666669</v>
      </c>
      <c r="E8" s="511">
        <v>101403.18166666669</v>
      </c>
      <c r="F8" s="511">
        <v>101403.18166666669</v>
      </c>
      <c r="G8" s="511">
        <v>101403.18166666669</v>
      </c>
      <c r="H8" s="511">
        <v>101403.18166666669</v>
      </c>
      <c r="I8" s="524" t="e">
        <f>#REF!/12</f>
        <v>#REF!</v>
      </c>
      <c r="J8" s="524" t="e">
        <f>#REF!/12</f>
        <v>#REF!</v>
      </c>
      <c r="K8" s="524" t="e">
        <f>#REF!/12</f>
        <v>#REF!</v>
      </c>
      <c r="L8" s="524" t="e">
        <f>#REF!/12</f>
        <v>#REF!</v>
      </c>
      <c r="M8" s="524" t="e">
        <f>#REF!/12</f>
        <v>#REF!</v>
      </c>
      <c r="N8" s="524" t="e">
        <f>#REF!/12</f>
        <v>#REF!</v>
      </c>
      <c r="O8" s="524" t="e">
        <f>#REF!/12</f>
        <v>#REF!</v>
      </c>
      <c r="P8" s="524" t="e">
        <f>#REF!/12</f>
        <v>#REF!</v>
      </c>
      <c r="Q8" s="524" t="e">
        <f>#REF!/12</f>
        <v>#REF!</v>
      </c>
      <c r="R8" s="524" t="e">
        <f>#REF!/12</f>
        <v>#REF!</v>
      </c>
      <c r="S8" s="524" t="e">
        <f>#REF!/12</f>
        <v>#REF!</v>
      </c>
      <c r="T8" s="524" t="e">
        <f>#REF!/12</f>
        <v>#REF!</v>
      </c>
      <c r="X8" s="661" t="s">
        <v>609</v>
      </c>
      <c r="Y8" s="671">
        <v>104749.98</v>
      </c>
      <c r="Z8" s="671">
        <v>0</v>
      </c>
      <c r="AA8" s="671">
        <v>210099.74</v>
      </c>
      <c r="AB8" s="671">
        <v>0</v>
      </c>
      <c r="AC8" s="671">
        <v>209002.89</v>
      </c>
      <c r="AD8" s="672">
        <v>0</v>
      </c>
      <c r="AE8" s="673">
        <v>201466.1875</v>
      </c>
      <c r="AF8" s="671">
        <v>100733.1875</v>
      </c>
      <c r="AG8" s="671">
        <v>100733.1875</v>
      </c>
      <c r="AH8" s="671">
        <v>100733.1875</v>
      </c>
      <c r="AI8" s="671">
        <v>100733.1875</v>
      </c>
      <c r="AJ8" s="671">
        <v>100733.1875</v>
      </c>
      <c r="AK8" s="671"/>
      <c r="AL8" s="671"/>
      <c r="AM8" s="671"/>
      <c r="AN8" s="671"/>
      <c r="AO8" s="671"/>
      <c r="AP8" s="671"/>
      <c r="AQ8" s="408"/>
      <c r="AR8" s="408"/>
      <c r="AS8" s="408"/>
      <c r="AT8" s="408"/>
      <c r="AU8" s="408"/>
      <c r="AV8" s="408"/>
    </row>
    <row r="9" spans="2:48" ht="15.75">
      <c r="B9" s="504" t="s">
        <v>610</v>
      </c>
      <c r="C9" s="512">
        <f t="shared" ref="C9:H9" si="1">SUM(C6:C8)</f>
        <v>1694636.4043665123</v>
      </c>
      <c r="D9" s="512">
        <f t="shared" si="1"/>
        <v>1469496.9350637002</v>
      </c>
      <c r="E9" s="512">
        <f t="shared" si="1"/>
        <v>1714330.2910345369</v>
      </c>
      <c r="F9" s="512">
        <f t="shared" si="1"/>
        <v>2005047.9099447159</v>
      </c>
      <c r="G9" s="512">
        <f t="shared" si="1"/>
        <v>1928331.3702418646</v>
      </c>
      <c r="H9" s="512">
        <f t="shared" si="1"/>
        <v>1870695.0062695569</v>
      </c>
      <c r="I9" s="512" t="e">
        <f t="shared" ref="I9:T9" si="2">SUM(I6:I8)</f>
        <v>#REF!</v>
      </c>
      <c r="J9" s="512" t="e">
        <f t="shared" si="2"/>
        <v>#REF!</v>
      </c>
      <c r="K9" s="512" t="e">
        <f t="shared" si="2"/>
        <v>#REF!</v>
      </c>
      <c r="L9" s="512" t="e">
        <f t="shared" si="2"/>
        <v>#REF!</v>
      </c>
      <c r="M9" s="512" t="e">
        <f t="shared" si="2"/>
        <v>#REF!</v>
      </c>
      <c r="N9" s="512" t="e">
        <f t="shared" si="2"/>
        <v>#REF!</v>
      </c>
      <c r="O9" s="512" t="e">
        <f t="shared" si="2"/>
        <v>#REF!</v>
      </c>
      <c r="P9" s="512" t="e">
        <f t="shared" si="2"/>
        <v>#REF!</v>
      </c>
      <c r="Q9" s="512" t="e">
        <f t="shared" si="2"/>
        <v>#REF!</v>
      </c>
      <c r="R9" s="512" t="e">
        <f t="shared" si="2"/>
        <v>#REF!</v>
      </c>
      <c r="S9" s="512" t="e">
        <f t="shared" si="2"/>
        <v>#REF!</v>
      </c>
      <c r="T9" s="512" t="e">
        <f t="shared" si="2"/>
        <v>#REF!</v>
      </c>
      <c r="X9" s="677" t="s">
        <v>610</v>
      </c>
      <c r="Y9" s="678">
        <v>1677994.5999999996</v>
      </c>
      <c r="Z9" s="678">
        <v>1180203.06</v>
      </c>
      <c r="AA9" s="678">
        <v>1615262.2099999995</v>
      </c>
      <c r="AB9" s="678">
        <v>1254346.939999999</v>
      </c>
      <c r="AC9" s="678">
        <v>1558683.5299999998</v>
      </c>
      <c r="AD9" s="678">
        <v>1558549.929999999</v>
      </c>
      <c r="AE9" s="678">
        <v>1841630.9082083779</v>
      </c>
      <c r="AF9" s="678">
        <v>1548279.3549229428</v>
      </c>
      <c r="AG9" s="678">
        <v>1778690.2853408069</v>
      </c>
      <c r="AH9" s="678">
        <v>2144427.249801903</v>
      </c>
      <c r="AI9" s="678">
        <v>1997904.5887072347</v>
      </c>
      <c r="AJ9" s="678">
        <v>1931112.4673592898</v>
      </c>
      <c r="AK9" s="678"/>
      <c r="AL9" s="678"/>
      <c r="AM9" s="678"/>
      <c r="AN9" s="678"/>
      <c r="AO9" s="678"/>
      <c r="AP9" s="678"/>
      <c r="AQ9" s="678"/>
      <c r="AR9" s="678"/>
      <c r="AS9" s="678"/>
      <c r="AT9" s="678"/>
      <c r="AU9" s="678"/>
      <c r="AV9" s="678"/>
    </row>
    <row r="10" spans="2:48" ht="15.75">
      <c r="B10" s="517" t="s">
        <v>611</v>
      </c>
      <c r="C10" s="748"/>
      <c r="D10" s="748"/>
      <c r="E10" s="748"/>
      <c r="F10" s="518"/>
      <c r="G10" s="518"/>
      <c r="H10" s="518"/>
      <c r="I10" s="518"/>
      <c r="J10" s="518"/>
      <c r="K10" s="518"/>
      <c r="L10" s="518"/>
      <c r="M10" s="518"/>
      <c r="N10" s="518"/>
      <c r="O10" s="518"/>
      <c r="P10" s="518"/>
      <c r="Q10" s="518"/>
      <c r="R10" s="518"/>
      <c r="S10" s="518"/>
      <c r="T10" s="518"/>
      <c r="X10" s="664" t="s">
        <v>611</v>
      </c>
      <c r="Y10" s="679"/>
      <c r="Z10" s="679"/>
      <c r="AA10" s="679"/>
      <c r="AB10" s="679"/>
      <c r="AC10" s="679"/>
      <c r="AD10" s="679"/>
      <c r="AE10" s="679"/>
      <c r="AF10" s="679"/>
      <c r="AG10" s="679"/>
      <c r="AH10" s="679"/>
      <c r="AI10" s="679"/>
      <c r="AJ10" s="679"/>
      <c r="AK10" s="679"/>
      <c r="AL10" s="679"/>
      <c r="AM10" s="679"/>
      <c r="AN10" s="679"/>
      <c r="AO10" s="679"/>
      <c r="AP10" s="679"/>
      <c r="AQ10" s="679"/>
      <c r="AR10" s="679"/>
      <c r="AS10" s="679"/>
      <c r="AT10" s="679"/>
      <c r="AU10" s="679"/>
      <c r="AV10" s="679"/>
    </row>
    <row r="11" spans="2:48" ht="15.75">
      <c r="B11" s="502" t="s">
        <v>612</v>
      </c>
      <c r="C11" s="511">
        <v>-641124.66206289246</v>
      </c>
      <c r="D11" s="511">
        <v>-635024.98518300033</v>
      </c>
      <c r="E11" s="511">
        <v>-617705.53555667889</v>
      </c>
      <c r="F11" s="511">
        <v>-606056.96147584659</v>
      </c>
      <c r="G11" s="511">
        <v>-601864.53817077063</v>
      </c>
      <c r="H11" s="511">
        <v>-597082.81632686872</v>
      </c>
      <c r="I11" s="764" t="e">
        <f>('3. P y G PRESENTACION'!$B$15+'3. P y G PRESENTACION'!$B$25)/12-SUM(I12:I15)</f>
        <v>#REF!</v>
      </c>
      <c r="J11" s="764" t="e">
        <f>('3. P y G PRESENTACION'!$B$15+'3. P y G PRESENTACION'!$B$25)/12-SUM(J12:J15)</f>
        <v>#REF!</v>
      </c>
      <c r="K11" s="764" t="e">
        <f>('3. P y G PRESENTACION'!$B$15+'3. P y G PRESENTACION'!$B$25)/12-SUM(K12:K15)</f>
        <v>#REF!</v>
      </c>
      <c r="L11" s="764" t="e">
        <f>('3. P y G PRESENTACION'!$B$15+'3. P y G PRESENTACION'!$B$25)/12-SUM(L12:L15)</f>
        <v>#REF!</v>
      </c>
      <c r="M11" s="764" t="e">
        <f>('3. P y G PRESENTACION'!$B$15+'3. P y G PRESENTACION'!$B$25)/12-SUM(M12:M15)</f>
        <v>#REF!</v>
      </c>
      <c r="N11" s="764" t="e">
        <f>('3. P y G PRESENTACION'!$B$15+'3. P y G PRESENTACION'!$B$25)/12-SUM(N12:N15)</f>
        <v>#REF!</v>
      </c>
      <c r="O11" s="764" t="e">
        <f>('3. P y G PRESENTACION'!$B$15+'3. P y G PRESENTACION'!$B$25)/12-SUM(O12:O15)</f>
        <v>#REF!</v>
      </c>
      <c r="P11" s="764" t="e">
        <f>('3. P y G PRESENTACION'!$B$15+'3. P y G PRESENTACION'!$B$25)/12-SUM(P12:P15)</f>
        <v>#REF!</v>
      </c>
      <c r="Q11" s="764" t="e">
        <f>('3. P y G PRESENTACION'!$B$15+'3. P y G PRESENTACION'!$B$25)/12-SUM(Q12:Q15)</f>
        <v>#REF!</v>
      </c>
      <c r="R11" s="764" t="e">
        <f>('3. P y G PRESENTACION'!$B$15+'3. P y G PRESENTACION'!$B$25)/12-SUM(R12:R15)</f>
        <v>#REF!</v>
      </c>
      <c r="S11" s="764" t="e">
        <f>('3. P y G PRESENTACION'!$B$15+'3. P y G PRESENTACION'!$B$25)/12-SUM(S12:S15)</f>
        <v>#REF!</v>
      </c>
      <c r="T11" s="764" t="e">
        <f>('3. P y G PRESENTACION'!$B$15+'3. P y G PRESENTACION'!$B$25)/12-SUM(T12:T15)</f>
        <v>#REF!</v>
      </c>
      <c r="U11" s="530" t="s">
        <v>651</v>
      </c>
      <c r="W11" s="425">
        <f>VLOOKUP(X11,B:C,2,FALSE)</f>
        <v>-641124.66206289246</v>
      </c>
      <c r="X11" s="661" t="s">
        <v>612</v>
      </c>
      <c r="Y11" s="680">
        <v>-3074892.89</v>
      </c>
      <c r="Z11" s="680">
        <v>-966313.9</v>
      </c>
      <c r="AA11" s="671">
        <v>-1162897.27</v>
      </c>
      <c r="AB11" s="681">
        <v>-1205654.21</v>
      </c>
      <c r="AC11" s="671">
        <v>-776255.57</v>
      </c>
      <c r="AD11" s="682">
        <v>-776320.94</v>
      </c>
      <c r="AE11" s="682">
        <v>-749533.88783155801</v>
      </c>
      <c r="AF11" s="674">
        <v>-749533.88783155801</v>
      </c>
      <c r="AG11" s="671">
        <v>-749533.88783155801</v>
      </c>
      <c r="AH11" s="671">
        <v>-749533.88783155801</v>
      </c>
      <c r="AI11" s="671">
        <v>-749533.88783155801</v>
      </c>
      <c r="AJ11" s="671">
        <v>-1291746.4878315581</v>
      </c>
      <c r="AK11" s="671"/>
      <c r="AL11" s="671"/>
      <c r="AM11" s="671"/>
      <c r="AN11" s="671"/>
      <c r="AO11" s="671"/>
      <c r="AP11" s="671"/>
      <c r="AQ11" s="671"/>
      <c r="AR11" s="671"/>
      <c r="AS11" s="671"/>
      <c r="AT11" s="671"/>
      <c r="AU11" s="671"/>
      <c r="AV11" s="671"/>
    </row>
    <row r="12" spans="2:48" ht="15.75">
      <c r="B12" s="502" t="s">
        <v>613</v>
      </c>
      <c r="C12" s="511">
        <v>-550000</v>
      </c>
      <c r="D12" s="511">
        <v>-550000</v>
      </c>
      <c r="E12" s="511">
        <v>-550000</v>
      </c>
      <c r="F12" s="511">
        <v>-550000</v>
      </c>
      <c r="G12" s="511">
        <v>-550000</v>
      </c>
      <c r="H12" s="511">
        <v>-550000</v>
      </c>
      <c r="I12" s="764" t="e">
        <f>-#REF!*I79</f>
        <v>#REF!</v>
      </c>
      <c r="J12" s="764" t="e">
        <f>-#REF!*J79</f>
        <v>#REF!</v>
      </c>
      <c r="K12" s="764" t="e">
        <f>-#REF!*K79</f>
        <v>#REF!</v>
      </c>
      <c r="L12" s="764" t="e">
        <f>-#REF!*L79</f>
        <v>#REF!</v>
      </c>
      <c r="M12" s="764" t="e">
        <f>-#REF!*M79</f>
        <v>#REF!</v>
      </c>
      <c r="N12" s="764" t="e">
        <f>-#REF!*N79</f>
        <v>#REF!</v>
      </c>
      <c r="O12" s="764" t="e">
        <f>-#REF!*O79</f>
        <v>#REF!</v>
      </c>
      <c r="P12" s="764" t="e">
        <f>-#REF!*P79</f>
        <v>#REF!</v>
      </c>
      <c r="Q12" s="764" t="e">
        <f>-#REF!*Q79</f>
        <v>#REF!</v>
      </c>
      <c r="R12" s="764" t="e">
        <f>-#REF!*R79</f>
        <v>#REF!</v>
      </c>
      <c r="S12" s="764" t="e">
        <f>-#REF!*S79</f>
        <v>#REF!</v>
      </c>
      <c r="T12" s="764" t="e">
        <f>-#REF!*T79</f>
        <v>#REF!</v>
      </c>
      <c r="U12" s="531" t="e">
        <f>SUM(I11:T15)-G64-G67-G68-G69-G70</f>
        <v>#REF!</v>
      </c>
      <c r="W12" s="425">
        <f t="shared" ref="W12:W31" si="3">VLOOKUP(X12,B:C,2,FALSE)</f>
        <v>-550000</v>
      </c>
      <c r="X12" s="661" t="s">
        <v>613</v>
      </c>
      <c r="Y12" s="671">
        <v>-266814.2</v>
      </c>
      <c r="Z12" s="671">
        <v>-328166.13</v>
      </c>
      <c r="AA12" s="671">
        <v>-327266.15000000002</v>
      </c>
      <c r="AB12" s="671">
        <v>-361901.58</v>
      </c>
      <c r="AC12" s="671">
        <v>-267668.67</v>
      </c>
      <c r="AD12" s="681">
        <v>-362891.25</v>
      </c>
      <c r="AE12" s="683">
        <v>-347657.52723598661</v>
      </c>
      <c r="AF12" s="671">
        <v>-335003.24881905474</v>
      </c>
      <c r="AG12" s="671">
        <v>-337955.3960392701</v>
      </c>
      <c r="AH12" s="671">
        <v>-364671.12493532139</v>
      </c>
      <c r="AI12" s="671">
        <v>-339552.89964122017</v>
      </c>
      <c r="AJ12" s="671">
        <v>-351155.89051591174</v>
      </c>
      <c r="AK12" s="671"/>
      <c r="AL12" s="671"/>
      <c r="AM12" s="671"/>
      <c r="AN12" s="671"/>
      <c r="AO12" s="671"/>
      <c r="AP12" s="671"/>
      <c r="AQ12" s="671"/>
      <c r="AR12" s="671"/>
      <c r="AS12" s="671"/>
      <c r="AT12" s="671"/>
      <c r="AU12" s="671"/>
      <c r="AV12" s="671"/>
    </row>
    <row r="13" spans="2:48" ht="15.75">
      <c r="B13" s="502" t="s">
        <v>614</v>
      </c>
      <c r="C13" s="511">
        <v>-16666.666666666668</v>
      </c>
      <c r="D13" s="511">
        <v>-16666.666666666668</v>
      </c>
      <c r="E13" s="511">
        <v>-16666.666666666668</v>
      </c>
      <c r="F13" s="511">
        <v>-16666.666666666668</v>
      </c>
      <c r="G13" s="511">
        <v>-16666.666666666668</v>
      </c>
      <c r="H13" s="511">
        <v>-16666.666666666668</v>
      </c>
      <c r="I13" s="764" t="e">
        <f>-SUM(#REF!)/12</f>
        <v>#REF!</v>
      </c>
      <c r="J13" s="764" t="e">
        <f>-SUM(#REF!)/12</f>
        <v>#REF!</v>
      </c>
      <c r="K13" s="764" t="e">
        <f>-SUM(#REF!)/12</f>
        <v>#REF!</v>
      </c>
      <c r="L13" s="764" t="e">
        <f>-SUM(#REF!)/12</f>
        <v>#REF!</v>
      </c>
      <c r="M13" s="764" t="e">
        <f>-SUM(#REF!)/12</f>
        <v>#REF!</v>
      </c>
      <c r="N13" s="764" t="e">
        <f>-SUM(#REF!)/12</f>
        <v>#REF!</v>
      </c>
      <c r="O13" s="764" t="e">
        <f>-SUM(#REF!)/12</f>
        <v>#REF!</v>
      </c>
      <c r="P13" s="764" t="e">
        <f>-SUM(#REF!)/12</f>
        <v>#REF!</v>
      </c>
      <c r="Q13" s="764" t="e">
        <f>-SUM(#REF!)/12</f>
        <v>#REF!</v>
      </c>
      <c r="R13" s="764" t="e">
        <f>-SUM(#REF!)/12</f>
        <v>#REF!</v>
      </c>
      <c r="S13" s="764" t="e">
        <f>-SUM(#REF!)/12</f>
        <v>#REF!</v>
      </c>
      <c r="T13" s="764" t="e">
        <f>-SUM(#REF!)/12</f>
        <v>#REF!</v>
      </c>
      <c r="W13" s="425">
        <f t="shared" si="3"/>
        <v>-16666.666666666668</v>
      </c>
      <c r="X13" s="661" t="s">
        <v>614</v>
      </c>
      <c r="Y13" s="671">
        <v>-4257.3</v>
      </c>
      <c r="Z13" s="671">
        <v>0</v>
      </c>
      <c r="AA13" s="671">
        <v>-5763.37</v>
      </c>
      <c r="AB13" s="671">
        <v>0</v>
      </c>
      <c r="AC13" s="671">
        <v>-5904.5</v>
      </c>
      <c r="AD13" s="671">
        <v>-2128.65</v>
      </c>
      <c r="AE13" s="683">
        <v>-14333.333333333334</v>
      </c>
      <c r="AF13" s="671">
        <v>-14333.333333333334</v>
      </c>
      <c r="AG13" s="671">
        <v>-14333.333333333334</v>
      </c>
      <c r="AH13" s="671">
        <v>-14333.333333333334</v>
      </c>
      <c r="AI13" s="671">
        <v>-14333.333333333334</v>
      </c>
      <c r="AJ13" s="671">
        <v>-14333.333333333334</v>
      </c>
      <c r="AK13" s="671"/>
      <c r="AL13" s="671"/>
      <c r="AM13" s="671"/>
      <c r="AN13" s="671"/>
      <c r="AO13" s="671"/>
      <c r="AP13" s="671"/>
      <c r="AQ13" s="671"/>
      <c r="AR13" s="671"/>
      <c r="AS13" s="671"/>
      <c r="AT13" s="671"/>
      <c r="AU13" s="671"/>
      <c r="AV13" s="671"/>
    </row>
    <row r="14" spans="2:48" ht="15.75">
      <c r="B14" s="502" t="s">
        <v>615</v>
      </c>
      <c r="C14" s="511">
        <v>-113271.04666666668</v>
      </c>
      <c r="D14" s="511">
        <v>-113271.04666666668</v>
      </c>
      <c r="E14" s="511">
        <v>-113271.04666666668</v>
      </c>
      <c r="F14" s="511">
        <v>-113271.04666666668</v>
      </c>
      <c r="G14" s="511">
        <v>-113271.04666666668</v>
      </c>
      <c r="H14" s="511">
        <v>-113271.04666666668</v>
      </c>
      <c r="I14" s="764" t="e">
        <f>-#REF!/12</f>
        <v>#REF!</v>
      </c>
      <c r="J14" s="764" t="e">
        <f>-#REF!/12</f>
        <v>#REF!</v>
      </c>
      <c r="K14" s="764" t="e">
        <f>-#REF!/12</f>
        <v>#REF!</v>
      </c>
      <c r="L14" s="764" t="e">
        <f>-#REF!/12</f>
        <v>#REF!</v>
      </c>
      <c r="M14" s="764" t="e">
        <f>-#REF!/12</f>
        <v>#REF!</v>
      </c>
      <c r="N14" s="764" t="e">
        <f>-#REF!/12</f>
        <v>#REF!</v>
      </c>
      <c r="O14" s="764" t="e">
        <f>-#REF!/12</f>
        <v>#REF!</v>
      </c>
      <c r="P14" s="764" t="e">
        <f>-#REF!/12</f>
        <v>#REF!</v>
      </c>
      <c r="Q14" s="764" t="e">
        <f>-#REF!/12</f>
        <v>#REF!</v>
      </c>
      <c r="R14" s="764" t="e">
        <f>-#REF!/12</f>
        <v>#REF!</v>
      </c>
      <c r="S14" s="764" t="e">
        <f>-#REF!/12</f>
        <v>#REF!</v>
      </c>
      <c r="T14" s="764" t="e">
        <f>-#REF!/12</f>
        <v>#REF!</v>
      </c>
      <c r="W14" s="425">
        <f t="shared" si="3"/>
        <v>-113271.04666666668</v>
      </c>
      <c r="X14" s="661" t="s">
        <v>615</v>
      </c>
      <c r="Y14" s="671">
        <v>-145449.37</v>
      </c>
      <c r="Z14" s="671">
        <v>-165227.14000000001</v>
      </c>
      <c r="AA14" s="671">
        <v>-291356.93</v>
      </c>
      <c r="AB14" s="681">
        <v>0</v>
      </c>
      <c r="AC14" s="671">
        <v>-144027.85</v>
      </c>
      <c r="AD14" s="671">
        <v>-145632.73000000001</v>
      </c>
      <c r="AE14" s="683">
        <v>-137109.5</v>
      </c>
      <c r="AF14" s="671">
        <v>-137109.5</v>
      </c>
      <c r="AG14" s="671">
        <v>-137109.5</v>
      </c>
      <c r="AH14" s="671">
        <v>-137109.5</v>
      </c>
      <c r="AI14" s="671">
        <v>-137109.5</v>
      </c>
      <c r="AJ14" s="671">
        <v>-137109.5</v>
      </c>
      <c r="AK14" s="671"/>
      <c r="AL14" s="671"/>
      <c r="AM14" s="671"/>
      <c r="AN14" s="671"/>
      <c r="AO14" s="671"/>
      <c r="AP14" s="671"/>
      <c r="AQ14" s="671"/>
      <c r="AR14" s="671"/>
      <c r="AS14" s="671"/>
      <c r="AT14" s="671"/>
      <c r="AU14" s="671"/>
      <c r="AV14" s="671"/>
    </row>
    <row r="15" spans="2:48" ht="16.5" thickBot="1">
      <c r="B15" s="533" t="s">
        <v>616</v>
      </c>
      <c r="C15" s="511">
        <v>-17617.275000000001</v>
      </c>
      <c r="D15" s="511">
        <v>-4404.2750000000005</v>
      </c>
      <c r="E15" s="511">
        <v>-4404.2750000000005</v>
      </c>
      <c r="F15" s="511">
        <v>-4404.2750000000005</v>
      </c>
      <c r="G15" s="511">
        <v>-4404.2750000000005</v>
      </c>
      <c r="H15" s="511">
        <v>-4404.2750000000005</v>
      </c>
      <c r="I15" s="765" t="e">
        <f>-(#REF!+#REF!+#REF!)/12</f>
        <v>#REF!</v>
      </c>
      <c r="J15" s="765" t="e">
        <f>-(#REF!+#REF!+#REF!)/12</f>
        <v>#REF!</v>
      </c>
      <c r="K15" s="765" t="e">
        <f>-(#REF!+#REF!+#REF!)/12</f>
        <v>#REF!</v>
      </c>
      <c r="L15" s="765" t="e">
        <f>-(#REF!+#REF!+#REF!)/12</f>
        <v>#REF!</v>
      </c>
      <c r="M15" s="765" t="e">
        <f>-(#REF!+#REF!+#REF!)/12</f>
        <v>#REF!</v>
      </c>
      <c r="N15" s="765" t="e">
        <f>-(#REF!+#REF!+#REF!)/12</f>
        <v>#REF!</v>
      </c>
      <c r="O15" s="765" t="e">
        <f>-(#REF!+#REF!+#REF!)/12</f>
        <v>#REF!</v>
      </c>
      <c r="P15" s="765" t="e">
        <f>-(#REF!+#REF!+#REF!)/12</f>
        <v>#REF!</v>
      </c>
      <c r="Q15" s="765" t="e">
        <f>-(#REF!+#REF!+#REF!)/12</f>
        <v>#REF!</v>
      </c>
      <c r="R15" s="765" t="e">
        <f>-(#REF!+#REF!+#REF!)/12</f>
        <v>#REF!</v>
      </c>
      <c r="S15" s="765" t="e">
        <f>-(#REF!+#REF!+#REF!)/12</f>
        <v>#REF!</v>
      </c>
      <c r="T15" s="765" t="e">
        <f>-(#REF!+#REF!+#REF!)/12</f>
        <v>#REF!</v>
      </c>
      <c r="W15" s="425">
        <f t="shared" si="3"/>
        <v>-17617.275000000001</v>
      </c>
      <c r="X15" s="661" t="s">
        <v>616</v>
      </c>
      <c r="Y15" s="671">
        <v>0</v>
      </c>
      <c r="Z15" s="671">
        <v>0</v>
      </c>
      <c r="AA15" s="671">
        <v>0</v>
      </c>
      <c r="AB15" s="671">
        <v>0</v>
      </c>
      <c r="AC15" s="671">
        <v>0</v>
      </c>
      <c r="AD15" s="671">
        <v>-99.99</v>
      </c>
      <c r="AE15" s="683">
        <v>-3896</v>
      </c>
      <c r="AF15" s="671">
        <v>-3895.8333333333335</v>
      </c>
      <c r="AG15" s="671">
        <v>-3895.8333333333335</v>
      </c>
      <c r="AH15" s="671">
        <v>-3895.8333333333335</v>
      </c>
      <c r="AI15" s="671">
        <v>-3895.8333333333335</v>
      </c>
      <c r="AJ15" s="671">
        <v>-3895.8333333333335</v>
      </c>
      <c r="AK15" s="671"/>
      <c r="AL15" s="671"/>
      <c r="AM15" s="671"/>
      <c r="AN15" s="671"/>
      <c r="AO15" s="671"/>
      <c r="AP15" s="671"/>
      <c r="AQ15" s="671"/>
      <c r="AR15" s="671"/>
      <c r="AS15" s="671"/>
      <c r="AT15" s="671"/>
      <c r="AU15" s="671"/>
      <c r="AV15" s="671"/>
    </row>
    <row r="16" spans="2:48" ht="15.75">
      <c r="B16" s="536" t="s">
        <v>54</v>
      </c>
      <c r="C16" s="511">
        <v>0</v>
      </c>
      <c r="D16" s="511">
        <v>0</v>
      </c>
      <c r="E16" s="511">
        <v>0</v>
      </c>
      <c r="F16" s="511">
        <v>0</v>
      </c>
      <c r="G16" s="511">
        <v>0</v>
      </c>
      <c r="H16" s="511">
        <v>0</v>
      </c>
      <c r="I16" s="537" t="e">
        <f>-SUMIF(#REF!,$B16,#REF!)</f>
        <v>#REF!</v>
      </c>
      <c r="J16" s="537" t="e">
        <f>-SUMIF(#REF!,$B16,#REF!)</f>
        <v>#REF!</v>
      </c>
      <c r="K16" s="537" t="e">
        <f>-SUMIF(#REF!,$B16,#REF!)</f>
        <v>#REF!</v>
      </c>
      <c r="L16" s="537" t="e">
        <f>-SUMIF(#REF!,$B16,#REF!)</f>
        <v>#REF!</v>
      </c>
      <c r="M16" s="537" t="e">
        <f>-SUMIF(#REF!,$B16,#REF!)</f>
        <v>#REF!</v>
      </c>
      <c r="N16" s="537" t="e">
        <f>-SUMIF(#REF!,$B16,#REF!)</f>
        <v>#REF!</v>
      </c>
      <c r="O16" s="537" t="e">
        <f>-SUMIF(#REF!,$B16,#REF!)</f>
        <v>#REF!</v>
      </c>
      <c r="P16" s="537" t="e">
        <f>-SUMIF(#REF!,$B16,#REF!)</f>
        <v>#REF!</v>
      </c>
      <c r="Q16" s="537" t="e">
        <f>-SUMIF(#REF!,$B16,#REF!)</f>
        <v>#REF!</v>
      </c>
      <c r="R16" s="537" t="e">
        <f>-SUMIF(#REF!,$B16,#REF!)</f>
        <v>#REF!</v>
      </c>
      <c r="S16" s="537" t="e">
        <f>-SUMIF(#REF!,$B16,#REF!)</f>
        <v>#REF!</v>
      </c>
      <c r="T16" s="537" t="e">
        <f>-SUMIF(#REF!,$B16,#REF!)</f>
        <v>#REF!</v>
      </c>
      <c r="U16" s="538" t="e">
        <f>-SUMIF(#REF!,$B16,#REF!)</f>
        <v>#REF!</v>
      </c>
      <c r="W16" s="425">
        <f t="shared" si="3"/>
        <v>0</v>
      </c>
      <c r="X16" s="684" t="s">
        <v>54</v>
      </c>
      <c r="Y16" s="671">
        <v>0</v>
      </c>
      <c r="Z16" s="671">
        <v>0</v>
      </c>
      <c r="AA16" s="671">
        <v>0</v>
      </c>
      <c r="AB16" s="671">
        <v>0</v>
      </c>
      <c r="AC16" s="671">
        <v>0</v>
      </c>
      <c r="AD16" s="671">
        <v>0</v>
      </c>
      <c r="AE16" s="681">
        <v>0</v>
      </c>
      <c r="AF16" s="683">
        <v>0</v>
      </c>
      <c r="AG16" s="671">
        <v>0</v>
      </c>
      <c r="AH16" s="671">
        <v>0</v>
      </c>
      <c r="AI16" s="671">
        <v>0</v>
      </c>
      <c r="AJ16" s="671">
        <v>0</v>
      </c>
      <c r="AK16" s="671"/>
      <c r="AL16" s="671"/>
      <c r="AM16" s="671"/>
      <c r="AN16" s="671"/>
      <c r="AO16" s="671"/>
      <c r="AP16" s="675"/>
      <c r="AQ16" s="671"/>
      <c r="AR16" s="671"/>
      <c r="AS16" s="671"/>
      <c r="AT16" s="671"/>
      <c r="AU16" s="671"/>
      <c r="AV16" s="671"/>
    </row>
    <row r="17" spans="2:48" ht="16.5" thickBot="1">
      <c r="B17" s="539" t="s">
        <v>618</v>
      </c>
      <c r="C17" s="511">
        <v>0</v>
      </c>
      <c r="D17" s="511">
        <v>0</v>
      </c>
      <c r="E17" s="511">
        <v>0</v>
      </c>
      <c r="F17" s="511">
        <v>0</v>
      </c>
      <c r="G17" s="511">
        <v>0</v>
      </c>
      <c r="H17" s="511">
        <v>0</v>
      </c>
      <c r="I17" s="540"/>
      <c r="J17" s="540"/>
      <c r="K17" s="540">
        <v>0</v>
      </c>
      <c r="L17" s="540">
        <v>0</v>
      </c>
      <c r="M17" s="540"/>
      <c r="N17" s="540">
        <v>0</v>
      </c>
      <c r="O17" s="540">
        <v>0</v>
      </c>
      <c r="P17" s="540"/>
      <c r="Q17" s="540"/>
      <c r="R17" s="540"/>
      <c r="S17" s="540"/>
      <c r="T17" s="540"/>
      <c r="U17" s="541" t="s">
        <v>45</v>
      </c>
      <c r="W17" s="425">
        <f t="shared" si="3"/>
        <v>0</v>
      </c>
      <c r="X17" s="685" t="s">
        <v>618</v>
      </c>
      <c r="Y17" s="671">
        <v>-81301.72</v>
      </c>
      <c r="Z17" s="671">
        <v>-83204.59</v>
      </c>
      <c r="AA17" s="671">
        <v>0</v>
      </c>
      <c r="AB17" s="671">
        <v>0</v>
      </c>
      <c r="AC17" s="674">
        <v>0</v>
      </c>
      <c r="AD17" s="674">
        <v>0</v>
      </c>
      <c r="AE17" s="683">
        <v>0</v>
      </c>
      <c r="AF17" s="683"/>
      <c r="AG17" s="681"/>
      <c r="AH17" s="674"/>
      <c r="AI17" s="671">
        <v>-2003629.48</v>
      </c>
      <c r="AJ17" s="671"/>
      <c r="AK17" s="675"/>
      <c r="AL17" s="675"/>
      <c r="AM17" s="675"/>
      <c r="AN17" s="675"/>
      <c r="AO17" s="675"/>
      <c r="AP17" s="675"/>
      <c r="AQ17" s="675"/>
      <c r="AR17" s="675"/>
      <c r="AS17" s="675"/>
      <c r="AT17" s="675"/>
      <c r="AU17" s="675"/>
      <c r="AV17" s="675"/>
    </row>
    <row r="18" spans="2:48" ht="16.5" thickBot="1">
      <c r="B18" s="534" t="s">
        <v>619</v>
      </c>
      <c r="C18" s="511">
        <v>0</v>
      </c>
      <c r="D18" s="511">
        <v>0</v>
      </c>
      <c r="E18" s="511">
        <v>0</v>
      </c>
      <c r="F18" s="511">
        <v>0</v>
      </c>
      <c r="G18" s="511">
        <v>0</v>
      </c>
      <c r="H18" s="511">
        <v>0</v>
      </c>
      <c r="I18" s="535"/>
      <c r="J18" s="535"/>
      <c r="K18" s="535"/>
      <c r="L18" s="535"/>
      <c r="M18" s="535"/>
      <c r="N18" s="535"/>
      <c r="O18" s="535"/>
      <c r="P18" s="535"/>
      <c r="Q18" s="535"/>
      <c r="R18" s="535"/>
      <c r="S18" s="535"/>
      <c r="T18" s="535"/>
      <c r="W18" s="425">
        <f t="shared" si="3"/>
        <v>0</v>
      </c>
      <c r="X18" s="685" t="s">
        <v>619</v>
      </c>
      <c r="Y18" s="671">
        <v>-19950</v>
      </c>
      <c r="Z18" s="671">
        <v>-10330</v>
      </c>
      <c r="AA18" s="671"/>
      <c r="AB18" s="671">
        <v>-11000</v>
      </c>
      <c r="AC18" s="671">
        <v>-13458.56</v>
      </c>
      <c r="AD18" s="672">
        <v>-7833.71</v>
      </c>
      <c r="AE18" s="683"/>
      <c r="AF18" s="671"/>
      <c r="AG18" s="671"/>
      <c r="AH18" s="671"/>
      <c r="AI18" s="671"/>
      <c r="AJ18" s="671"/>
      <c r="AK18" s="671"/>
      <c r="AL18" s="671"/>
      <c r="AM18" s="671"/>
      <c r="AN18" s="671"/>
      <c r="AO18" s="671"/>
      <c r="AP18" s="671"/>
      <c r="AQ18" s="671"/>
      <c r="AR18" s="671"/>
      <c r="AS18" s="671"/>
      <c r="AT18" s="671"/>
      <c r="AU18" s="671"/>
      <c r="AV18" s="671"/>
    </row>
    <row r="19" spans="2:48" ht="16.5" thickBot="1">
      <c r="B19" s="505" t="s">
        <v>620</v>
      </c>
      <c r="C19" s="511">
        <v>-1184667.81759428</v>
      </c>
      <c r="D19" s="511">
        <v>-1241837.1440119799</v>
      </c>
      <c r="E19" s="511">
        <v>-1723073.4178088701</v>
      </c>
      <c r="F19" s="511">
        <v>-1240487.73020092</v>
      </c>
      <c r="G19" s="511">
        <v>-1472395.3631175398</v>
      </c>
      <c r="H19" s="511">
        <v>-1548976.50183384</v>
      </c>
      <c r="I19" s="709">
        <f>-I86/(1+$AH$59)</f>
        <v>-1345034.4395406267</v>
      </c>
      <c r="J19" s="709">
        <f t="shared" ref="J19:T19" si="4">-J86/(1+$AH$59)</f>
        <v>-1303873.3750484553</v>
      </c>
      <c r="K19" s="709">
        <f t="shared" si="4"/>
        <v>-1203100.2535587242</v>
      </c>
      <c r="L19" s="709">
        <f t="shared" si="4"/>
        <v>-1247269.1117882614</v>
      </c>
      <c r="M19" s="709">
        <f t="shared" si="4"/>
        <v>-1820472.3435456792</v>
      </c>
      <c r="N19" s="709">
        <f t="shared" si="4"/>
        <v>-1210973.7871334741</v>
      </c>
      <c r="O19" s="709">
        <f t="shared" si="4"/>
        <v>-1247147.157255763</v>
      </c>
      <c r="P19" s="709">
        <f t="shared" si="4"/>
        <v>-1236503.1384795909</v>
      </c>
      <c r="Q19" s="709">
        <f t="shared" si="4"/>
        <v>-1772615.9345605539</v>
      </c>
      <c r="R19" s="709">
        <f t="shared" si="4"/>
        <v>-1228707.8405262122</v>
      </c>
      <c r="S19" s="709">
        <f t="shared" si="4"/>
        <v>-2072955.9070549335</v>
      </c>
      <c r="T19" s="709">
        <f t="shared" si="4"/>
        <v>-1858514.841080765</v>
      </c>
      <c r="U19" s="530" t="s">
        <v>651</v>
      </c>
      <c r="V19" s="574">
        <f>381.563080450593*1000</f>
        <v>381563.08045059303</v>
      </c>
      <c r="W19" s="425">
        <f t="shared" si="3"/>
        <v>-1184667.81759428</v>
      </c>
      <c r="X19" s="685" t="s">
        <v>620</v>
      </c>
      <c r="Y19" s="671">
        <v>-1319056.22</v>
      </c>
      <c r="Z19" s="671">
        <v>-1296139.6599999999</v>
      </c>
      <c r="AA19" s="671">
        <v>-1260549.6499999999</v>
      </c>
      <c r="AB19" s="671">
        <v>-1056550.8500000001</v>
      </c>
      <c r="AC19" s="671">
        <v>-1327699.8999999999</v>
      </c>
      <c r="AD19" s="672">
        <v>-1070025.3</v>
      </c>
      <c r="AE19" s="683">
        <v>-1285303.4154599509</v>
      </c>
      <c r="AF19" s="671">
        <v>-1144957.5150200892</v>
      </c>
      <c r="AG19" s="671">
        <v>-1296882.0335783078</v>
      </c>
      <c r="AH19" s="671">
        <v>-1170864.0022893837</v>
      </c>
      <c r="AI19" s="671">
        <v>-2179778.9139044723</v>
      </c>
      <c r="AJ19" s="671">
        <v>-2179591.4601897802</v>
      </c>
      <c r="AK19" s="671"/>
      <c r="AL19" s="671"/>
      <c r="AM19" s="671"/>
      <c r="AN19" s="671"/>
      <c r="AO19" s="671"/>
      <c r="AP19" s="671"/>
      <c r="AQ19" s="671"/>
      <c r="AR19" s="671"/>
      <c r="AS19" s="671"/>
      <c r="AT19" s="671"/>
      <c r="AU19" s="671"/>
      <c r="AV19" s="671"/>
    </row>
    <row r="20" spans="2:48" ht="15.75">
      <c r="B20" s="505" t="s">
        <v>621</v>
      </c>
      <c r="C20" s="511">
        <v>0</v>
      </c>
      <c r="D20" s="511">
        <v>0</v>
      </c>
      <c r="E20" s="511">
        <v>0</v>
      </c>
      <c r="F20" s="511">
        <v>0</v>
      </c>
      <c r="G20" s="511">
        <v>0</v>
      </c>
      <c r="H20" s="511">
        <v>0</v>
      </c>
      <c r="I20" s="521">
        <v>0</v>
      </c>
      <c r="J20" s="521">
        <v>0</v>
      </c>
      <c r="K20" s="524">
        <f>-K87/(1+$AH$59)</f>
        <v>-1610778.0582087087</v>
      </c>
      <c r="L20" s="521">
        <v>0</v>
      </c>
      <c r="M20" s="521">
        <v>0</v>
      </c>
      <c r="N20" s="524">
        <f>-N87/(1+$AH$59)</f>
        <v>-868208.17515989137</v>
      </c>
      <c r="O20" s="521">
        <v>0</v>
      </c>
      <c r="P20" s="521">
        <v>0</v>
      </c>
      <c r="Q20" s="524">
        <f>-Q87/(1+$AH$59)</f>
        <v>-883370.17911018291</v>
      </c>
      <c r="R20" s="521">
        <v>0</v>
      </c>
      <c r="S20" s="521">
        <v>0</v>
      </c>
      <c r="T20" s="524">
        <f>-T87/(1+$AH$59)</f>
        <v>-891690.30163823848</v>
      </c>
      <c r="U20" s="531">
        <f>SUM(I19:T21)-G65</f>
        <v>309587.75594421476</v>
      </c>
      <c r="V20" s="425" t="s">
        <v>669</v>
      </c>
      <c r="W20" s="425">
        <f t="shared" si="3"/>
        <v>0</v>
      </c>
      <c r="X20" s="685" t="s">
        <v>621</v>
      </c>
      <c r="Y20" s="671">
        <v>0</v>
      </c>
      <c r="Z20" s="671">
        <v>0</v>
      </c>
      <c r="AA20" s="671">
        <v>-1488360.03</v>
      </c>
      <c r="AB20" s="671">
        <v>0</v>
      </c>
      <c r="AC20" s="671">
        <v>0</v>
      </c>
      <c r="AD20" s="672">
        <v>-777222.73</v>
      </c>
      <c r="AE20" s="683">
        <v>0</v>
      </c>
      <c r="AF20" s="671">
        <v>0</v>
      </c>
      <c r="AG20" s="671">
        <v>-795047.16156279319</v>
      </c>
      <c r="AH20" s="671">
        <v>0</v>
      </c>
      <c r="AI20" s="671">
        <v>0</v>
      </c>
      <c r="AJ20" s="671">
        <v>-806416.0648254269</v>
      </c>
      <c r="AK20" s="671"/>
      <c r="AL20" s="671"/>
      <c r="AM20" s="671"/>
      <c r="AN20" s="671"/>
      <c r="AO20" s="671"/>
      <c r="AP20" s="671"/>
      <c r="AQ20" s="671"/>
      <c r="AR20" s="671"/>
      <c r="AS20" s="671"/>
      <c r="AT20" s="671"/>
      <c r="AU20" s="671"/>
      <c r="AV20" s="671"/>
    </row>
    <row r="21" spans="2:48" ht="15.75">
      <c r="B21" s="505" t="s">
        <v>623</v>
      </c>
      <c r="C21" s="511">
        <v>0</v>
      </c>
      <c r="D21" s="511">
        <v>0</v>
      </c>
      <c r="E21" s="511">
        <v>0</v>
      </c>
      <c r="F21" s="511">
        <v>0</v>
      </c>
      <c r="G21" s="511">
        <v>0</v>
      </c>
      <c r="H21" s="511">
        <v>0</v>
      </c>
      <c r="I21" s="524">
        <f>SUM(H19:H20)*$AH$59</f>
        <v>-380469.13707570086</v>
      </c>
      <c r="J21" s="524">
        <f>SUM(I19:I20)*$AH$59</f>
        <v>-330375.63316374726</v>
      </c>
      <c r="K21" s="524">
        <f t="shared" ref="K21:T21" si="5">SUM(J19:J20)*$AH$59</f>
        <v>-320265.3992964722</v>
      </c>
      <c r="L21" s="524">
        <f t="shared" si="5"/>
        <v>-691162.10081089311</v>
      </c>
      <c r="M21" s="524">
        <f t="shared" si="5"/>
        <v>-306361.91194730002</v>
      </c>
      <c r="N21" s="524">
        <f t="shared" si="5"/>
        <v>-447155.61585278506</v>
      </c>
      <c r="O21" s="524">
        <f t="shared" si="5"/>
        <v>-510701.46388959058</v>
      </c>
      <c r="P21" s="524">
        <f t="shared" si="5"/>
        <v>-306331.95672481135</v>
      </c>
      <c r="Q21" s="524">
        <f t="shared" si="5"/>
        <v>-303717.50735518354</v>
      </c>
      <c r="R21" s="524">
        <f t="shared" si="5"/>
        <v>-652379.64782357228</v>
      </c>
      <c r="S21" s="524">
        <f t="shared" si="5"/>
        <v>-301802.77831826231</v>
      </c>
      <c r="T21" s="524">
        <f t="shared" si="5"/>
        <v>-509172.18190167955</v>
      </c>
      <c r="W21" s="425">
        <f t="shared" si="3"/>
        <v>0</v>
      </c>
      <c r="X21" s="685" t="s">
        <v>623</v>
      </c>
      <c r="Y21" s="671">
        <v>-385379.52</v>
      </c>
      <c r="Z21" s="671">
        <v>-328519.67</v>
      </c>
      <c r="AA21" s="671">
        <v>-316572.92</v>
      </c>
      <c r="AB21" s="671">
        <v>-656974.39</v>
      </c>
      <c r="AC21" s="671">
        <v>-266218.34000000003</v>
      </c>
      <c r="AD21" s="672">
        <v>-314804.92</v>
      </c>
      <c r="AE21" s="683">
        <v>-471343.62722354248</v>
      </c>
      <c r="AF21" s="683">
        <v>-317024.995597039</v>
      </c>
      <c r="AG21" s="683">
        <v>-282408.14331621974</v>
      </c>
      <c r="AH21" s="683">
        <v>-515982.32440827863</v>
      </c>
      <c r="AI21" s="683">
        <v>-288798.0773300057</v>
      </c>
      <c r="AJ21" s="683">
        <v>-537650.79301200702</v>
      </c>
      <c r="AK21" s="671"/>
      <c r="AL21" s="671"/>
      <c r="AM21" s="671"/>
      <c r="AN21" s="671"/>
      <c r="AO21" s="671"/>
      <c r="AP21" s="671"/>
      <c r="AQ21" s="671"/>
      <c r="AR21" s="671"/>
      <c r="AS21" s="671"/>
      <c r="AT21" s="671"/>
      <c r="AU21" s="671"/>
      <c r="AV21" s="671"/>
    </row>
    <row r="22" spans="2:48" ht="15.75">
      <c r="B22" s="505" t="s">
        <v>622</v>
      </c>
      <c r="C22" s="511">
        <v>-761400.72303723579</v>
      </c>
      <c r="D22" s="511">
        <v>-761400.72303723579</v>
      </c>
      <c r="E22" s="511">
        <v>-761400.72303723579</v>
      </c>
      <c r="F22" s="511">
        <v>-761400.72303723579</v>
      </c>
      <c r="G22" s="511">
        <v>-761400.72303723579</v>
      </c>
      <c r="H22" s="511">
        <v>-761400.72303723579</v>
      </c>
      <c r="I22" s="524">
        <f>-H82*35%</f>
        <v>-876581.41954986937</v>
      </c>
      <c r="J22" s="524" t="e">
        <f>-#REF!/12</f>
        <v>#REF!</v>
      </c>
      <c r="K22" s="524" t="e">
        <f>-#REF!/12</f>
        <v>#REF!</v>
      </c>
      <c r="L22" s="524" t="e">
        <f>-#REF!/12</f>
        <v>#REF!</v>
      </c>
      <c r="M22" s="524" t="e">
        <f>-#REF!/12</f>
        <v>#REF!</v>
      </c>
      <c r="N22" s="524" t="e">
        <f>-#REF!/12</f>
        <v>#REF!</v>
      </c>
      <c r="O22" s="524" t="e">
        <f>-#REF!/12</f>
        <v>#REF!</v>
      </c>
      <c r="P22" s="524" t="e">
        <f>-#REF!/12</f>
        <v>#REF!</v>
      </c>
      <c r="Q22" s="524" t="e">
        <f>-#REF!/12</f>
        <v>#REF!</v>
      </c>
      <c r="R22" s="524" t="e">
        <f>-#REF!/12</f>
        <v>#REF!</v>
      </c>
      <c r="S22" s="524" t="e">
        <f>-#REF!/12</f>
        <v>#REF!</v>
      </c>
      <c r="T22" s="524" t="e">
        <f>-#REF!/12</f>
        <v>#REF!</v>
      </c>
      <c r="U22" s="531" t="e">
        <f>SUM(I22:T22)-G66</f>
        <v>#REF!</v>
      </c>
      <c r="W22" s="425">
        <f t="shared" si="3"/>
        <v>-761400.72303723579</v>
      </c>
      <c r="X22" s="685" t="s">
        <v>622</v>
      </c>
      <c r="Y22" s="671">
        <v>-577856.09</v>
      </c>
      <c r="Z22" s="671">
        <v>-694389.86</v>
      </c>
      <c r="AA22" s="671">
        <v>-707168.61</v>
      </c>
      <c r="AB22" s="671">
        <v>-693876.99</v>
      </c>
      <c r="AC22" s="671">
        <v>-622781.41</v>
      </c>
      <c r="AD22" s="672">
        <v>-726740.2</v>
      </c>
      <c r="AE22" s="683">
        <v>-709385.2989075504</v>
      </c>
      <c r="AF22" s="674">
        <v>-709385.2989075504</v>
      </c>
      <c r="AG22" s="681">
        <v>-709385.2989075504</v>
      </c>
      <c r="AH22" s="674">
        <v>-709385.2989075504</v>
      </c>
      <c r="AI22" s="674">
        <v>-709385.2989075504</v>
      </c>
      <c r="AJ22" s="674">
        <v>-709385.2989075504</v>
      </c>
      <c r="AK22" s="671"/>
      <c r="AL22" s="671"/>
      <c r="AM22" s="671"/>
      <c r="AN22" s="671"/>
      <c r="AO22" s="671"/>
      <c r="AP22" s="671"/>
      <c r="AQ22" s="671"/>
      <c r="AR22" s="671"/>
      <c r="AS22" s="671"/>
      <c r="AT22" s="671"/>
      <c r="AU22" s="671"/>
      <c r="AV22" s="671"/>
    </row>
    <row r="23" spans="2:48" ht="15.75">
      <c r="B23" s="505" t="s">
        <v>624</v>
      </c>
      <c r="C23" s="511">
        <v>-356793.12</v>
      </c>
      <c r="D23" s="511">
        <v>0</v>
      </c>
      <c r="E23" s="511">
        <v>0</v>
      </c>
      <c r="F23" s="511">
        <v>-197031.35</v>
      </c>
      <c r="G23" s="511">
        <v>0</v>
      </c>
      <c r="H23" s="511">
        <v>0</v>
      </c>
      <c r="I23" s="831">
        <v>-352293.11</v>
      </c>
      <c r="J23" s="831"/>
      <c r="K23" s="831"/>
      <c r="L23" s="831">
        <v>-192531.35</v>
      </c>
      <c r="M23" s="831"/>
      <c r="N23" s="831">
        <v>0</v>
      </c>
      <c r="O23" s="831">
        <v>-352293.11</v>
      </c>
      <c r="P23" s="831">
        <v>0</v>
      </c>
      <c r="Q23" s="831">
        <v>0</v>
      </c>
      <c r="R23" s="831">
        <v>-192531.35</v>
      </c>
      <c r="S23" s="831">
        <v>0</v>
      </c>
      <c r="T23" s="831">
        <v>0</v>
      </c>
      <c r="W23" s="425">
        <f t="shared" si="3"/>
        <v>-356793.12</v>
      </c>
      <c r="X23" s="685" t="s">
        <v>624</v>
      </c>
      <c r="Y23" s="671">
        <v>0</v>
      </c>
      <c r="Z23" s="671">
        <v>0</v>
      </c>
      <c r="AA23" s="671">
        <v>0</v>
      </c>
      <c r="AB23" s="681">
        <v>-192531.36</v>
      </c>
      <c r="AC23" s="671">
        <v>0</v>
      </c>
      <c r="AD23" s="671">
        <v>0</v>
      </c>
      <c r="AE23" s="683">
        <v>-111300</v>
      </c>
      <c r="AF23" s="671">
        <v>0</v>
      </c>
      <c r="AG23" s="671">
        <v>0</v>
      </c>
      <c r="AH23" s="671">
        <v>-197031.35</v>
      </c>
      <c r="AI23" s="671">
        <v>0</v>
      </c>
      <c r="AJ23" s="671">
        <v>0</v>
      </c>
      <c r="AK23" s="671"/>
      <c r="AL23" s="671"/>
      <c r="AM23" s="671"/>
      <c r="AN23" s="671"/>
      <c r="AO23" s="671"/>
      <c r="AP23" s="671"/>
      <c r="AQ23" s="671"/>
      <c r="AR23" s="671"/>
      <c r="AS23" s="671"/>
      <c r="AT23" s="671"/>
      <c r="AU23" s="671"/>
      <c r="AV23" s="671"/>
    </row>
    <row r="24" spans="2:48" ht="15.75">
      <c r="B24" s="505" t="s">
        <v>625</v>
      </c>
      <c r="C24" s="511">
        <v>-18705</v>
      </c>
      <c r="D24" s="511">
        <v>-18705</v>
      </c>
      <c r="E24" s="511">
        <v>-18705</v>
      </c>
      <c r="F24" s="511">
        <v>-18705</v>
      </c>
      <c r="G24" s="511">
        <v>-18705</v>
      </c>
      <c r="H24" s="511">
        <v>-18705</v>
      </c>
      <c r="I24" s="831">
        <v>18705</v>
      </c>
      <c r="J24" s="831">
        <v>18705</v>
      </c>
      <c r="K24" s="831">
        <v>18705</v>
      </c>
      <c r="L24" s="831">
        <v>18705</v>
      </c>
      <c r="M24" s="831">
        <v>18705</v>
      </c>
      <c r="N24" s="831">
        <v>18704.900000000001</v>
      </c>
      <c r="O24" s="831"/>
      <c r="P24" s="831"/>
      <c r="Q24" s="831"/>
      <c r="R24" s="831"/>
      <c r="S24" s="831"/>
      <c r="T24" s="831"/>
      <c r="W24" s="425">
        <f t="shared" si="3"/>
        <v>-18705</v>
      </c>
      <c r="X24" s="685" t="s">
        <v>625</v>
      </c>
      <c r="Y24" s="671">
        <v>-18705</v>
      </c>
      <c r="Z24" s="671">
        <v>-18705</v>
      </c>
      <c r="AA24" s="671">
        <v>-18705</v>
      </c>
      <c r="AB24" s="681">
        <v>-18705</v>
      </c>
      <c r="AC24" s="671">
        <v>-18705</v>
      </c>
      <c r="AD24" s="672">
        <v>-18705</v>
      </c>
      <c r="AE24" s="683">
        <v>-18705</v>
      </c>
      <c r="AF24" s="671">
        <v>-18705</v>
      </c>
      <c r="AG24" s="671">
        <v>-18705</v>
      </c>
      <c r="AH24" s="671">
        <v>-18705</v>
      </c>
      <c r="AI24" s="671">
        <v>-18705</v>
      </c>
      <c r="AJ24" s="671">
        <v>-18705</v>
      </c>
      <c r="AK24" s="671"/>
      <c r="AL24" s="671"/>
      <c r="AM24" s="671"/>
      <c r="AN24" s="671"/>
      <c r="AO24" s="671"/>
      <c r="AP24" s="671"/>
      <c r="AQ24" s="671"/>
      <c r="AR24" s="671"/>
      <c r="AS24" s="671"/>
      <c r="AT24" s="671"/>
      <c r="AU24" s="671"/>
      <c r="AV24" s="671"/>
    </row>
    <row r="25" spans="2:48" ht="15.75">
      <c r="B25" s="505" t="s">
        <v>626</v>
      </c>
      <c r="C25" s="511">
        <v>-81782</v>
      </c>
      <c r="D25" s="511">
        <v>-81782</v>
      </c>
      <c r="E25" s="511">
        <v>-81782</v>
      </c>
      <c r="F25" s="511">
        <v>-81782</v>
      </c>
      <c r="G25" s="511">
        <v>-81782</v>
      </c>
      <c r="H25" s="511">
        <v>-81782</v>
      </c>
      <c r="I25" s="831">
        <v>81781.94</v>
      </c>
      <c r="J25" s="831">
        <v>81781.94</v>
      </c>
      <c r="K25" s="831">
        <v>81781.94</v>
      </c>
      <c r="L25" s="831">
        <v>81781.94</v>
      </c>
      <c r="M25" s="831">
        <v>81781.94</v>
      </c>
      <c r="N25" s="831">
        <v>81781.94</v>
      </c>
      <c r="O25" s="831"/>
      <c r="P25" s="831"/>
      <c r="Q25" s="831"/>
      <c r="R25" s="831"/>
      <c r="S25" s="831"/>
      <c r="T25" s="831"/>
      <c r="W25" s="425">
        <f t="shared" si="3"/>
        <v>-81782</v>
      </c>
      <c r="X25" s="685" t="s">
        <v>626</v>
      </c>
      <c r="Y25" s="671">
        <v>-81781.94</v>
      </c>
      <c r="Z25" s="671">
        <v>-81781.94</v>
      </c>
      <c r="AA25" s="671">
        <v>-81782</v>
      </c>
      <c r="AB25" s="681">
        <v>-81781.94</v>
      </c>
      <c r="AC25" s="671">
        <v>-81781.94</v>
      </c>
      <c r="AD25" s="672">
        <v>-81781.94</v>
      </c>
      <c r="AE25" s="683">
        <v>-81782</v>
      </c>
      <c r="AF25" s="671">
        <v>-81782</v>
      </c>
      <c r="AG25" s="671">
        <v>-81782</v>
      </c>
      <c r="AH25" s="671">
        <v>-81782</v>
      </c>
      <c r="AI25" s="671">
        <v>-81782</v>
      </c>
      <c r="AJ25" s="671">
        <v>-81782</v>
      </c>
      <c r="AK25" s="671"/>
      <c r="AL25" s="671"/>
      <c r="AM25" s="671"/>
      <c r="AN25" s="671"/>
      <c r="AO25" s="671"/>
      <c r="AP25" s="671"/>
      <c r="AQ25" s="671"/>
      <c r="AR25" s="671"/>
      <c r="AS25" s="671"/>
      <c r="AT25" s="671"/>
      <c r="AU25" s="671"/>
      <c r="AV25" s="671"/>
    </row>
    <row r="26" spans="2:48" ht="15.75">
      <c r="B26" s="505" t="s">
        <v>627</v>
      </c>
      <c r="C26" s="511">
        <v>0</v>
      </c>
      <c r="D26" s="511">
        <v>0</v>
      </c>
      <c r="E26" s="511">
        <v>0</v>
      </c>
      <c r="F26" s="511">
        <v>0</v>
      </c>
      <c r="G26" s="511">
        <v>0</v>
      </c>
      <c r="H26" s="511">
        <v>0</v>
      </c>
      <c r="I26" s="831">
        <v>165531.58555065165</v>
      </c>
      <c r="J26" s="831">
        <v>165531.58555065165</v>
      </c>
      <c r="K26" s="831">
        <v>165531.58555065165</v>
      </c>
      <c r="L26" s="831">
        <v>165531.58555065165</v>
      </c>
      <c r="M26" s="831">
        <v>165531.58555065165</v>
      </c>
      <c r="N26" s="831">
        <v>165531.58555065165</v>
      </c>
      <c r="O26" s="831">
        <v>165531.58555065165</v>
      </c>
      <c r="P26" s="831">
        <v>165531.58555065165</v>
      </c>
      <c r="Q26" s="831">
        <v>165531.58555065165</v>
      </c>
      <c r="R26" s="831">
        <v>165531.58555065165</v>
      </c>
      <c r="S26" s="831">
        <v>165531.58555065165</v>
      </c>
      <c r="T26" s="831">
        <v>165531.58555065165</v>
      </c>
      <c r="W26" s="425">
        <f t="shared" si="3"/>
        <v>0</v>
      </c>
      <c r="X26" s="685" t="s">
        <v>627</v>
      </c>
      <c r="Y26" s="671">
        <v>-7755</v>
      </c>
      <c r="Z26" s="671">
        <v>-7755</v>
      </c>
      <c r="AA26" s="671">
        <v>-165531.59</v>
      </c>
      <c r="AB26" s="681">
        <v>-165531.59</v>
      </c>
      <c r="AC26" s="671">
        <v>-165531.59</v>
      </c>
      <c r="AD26" s="671">
        <v>-165531.59</v>
      </c>
      <c r="AE26" s="683">
        <v>-165531.59</v>
      </c>
      <c r="AF26" s="671">
        <v>-165531.59</v>
      </c>
      <c r="AG26" s="671">
        <v>-165531.59</v>
      </c>
      <c r="AH26" s="671">
        <v>-165531.59</v>
      </c>
      <c r="AI26" s="671">
        <v>-165531.59</v>
      </c>
      <c r="AJ26" s="671">
        <v>-165531.59</v>
      </c>
      <c r="AK26" s="671"/>
      <c r="AL26" s="671"/>
      <c r="AM26" s="671"/>
      <c r="AN26" s="671"/>
      <c r="AO26" s="671"/>
      <c r="AP26" s="671"/>
      <c r="AQ26" s="671"/>
      <c r="AR26" s="671"/>
      <c r="AS26" s="671"/>
      <c r="AT26" s="671"/>
      <c r="AU26" s="671"/>
      <c r="AV26" s="671"/>
    </row>
    <row r="27" spans="2:48" ht="15.75">
      <c r="B27" s="505" t="s">
        <v>628</v>
      </c>
      <c r="C27" s="511">
        <v>0</v>
      </c>
      <c r="D27" s="511">
        <v>0</v>
      </c>
      <c r="E27" s="511">
        <v>0</v>
      </c>
      <c r="F27" s="511">
        <v>0</v>
      </c>
      <c r="G27" s="511">
        <v>0</v>
      </c>
      <c r="H27" s="511">
        <v>0</v>
      </c>
      <c r="I27" s="813">
        <v>43606.06</v>
      </c>
      <c r="J27" s="813">
        <v>43606.06</v>
      </c>
      <c r="K27" s="813">
        <v>43606.06</v>
      </c>
      <c r="L27" s="813">
        <v>43606.06</v>
      </c>
      <c r="M27" s="813">
        <v>43606.06</v>
      </c>
      <c r="N27" s="813">
        <v>43606.06</v>
      </c>
      <c r="O27" s="813"/>
      <c r="P27" s="813"/>
      <c r="Q27" s="813"/>
      <c r="R27" s="813"/>
      <c r="S27" s="813"/>
      <c r="T27" s="813"/>
      <c r="W27" s="425">
        <f t="shared" si="3"/>
        <v>0</v>
      </c>
      <c r="X27" s="685" t="s">
        <v>628</v>
      </c>
      <c r="Y27" s="671">
        <v>-43606.06</v>
      </c>
      <c r="Z27" s="671">
        <v>-43606.06</v>
      </c>
      <c r="AA27" s="671">
        <v>-43606</v>
      </c>
      <c r="AB27" s="681">
        <v>-43606.06</v>
      </c>
      <c r="AC27" s="671">
        <v>-43606.06</v>
      </c>
      <c r="AD27" s="672">
        <v>-43606.06</v>
      </c>
      <c r="AE27" s="683">
        <v>-43606</v>
      </c>
      <c r="AF27" s="671">
        <v>-43606</v>
      </c>
      <c r="AG27" s="671">
        <v>-43606</v>
      </c>
      <c r="AH27" s="671">
        <v>-43606</v>
      </c>
      <c r="AI27" s="671">
        <v>-43606</v>
      </c>
      <c r="AJ27" s="671">
        <v>-43606</v>
      </c>
      <c r="AK27" s="671"/>
      <c r="AL27" s="671"/>
      <c r="AM27" s="671"/>
      <c r="AN27" s="671"/>
      <c r="AO27" s="671"/>
      <c r="AP27" s="671"/>
      <c r="AQ27" s="671"/>
      <c r="AR27" s="671"/>
      <c r="AS27" s="671"/>
      <c r="AT27" s="671"/>
      <c r="AU27" s="671"/>
      <c r="AV27" s="671"/>
    </row>
    <row r="28" spans="2:48" ht="16.5" thickBot="1">
      <c r="B28" s="542" t="s">
        <v>987</v>
      </c>
      <c r="C28" s="511">
        <v>0</v>
      </c>
      <c r="D28" s="511">
        <v>0</v>
      </c>
      <c r="E28" s="511">
        <v>0</v>
      </c>
      <c r="F28" s="511">
        <v>0</v>
      </c>
      <c r="G28" s="511">
        <v>0</v>
      </c>
      <c r="H28" s="511">
        <v>0</v>
      </c>
      <c r="I28" s="813">
        <v>108341.79</v>
      </c>
      <c r="J28" s="813">
        <v>108341.8</v>
      </c>
      <c r="K28" s="813">
        <v>108341.79999999999</v>
      </c>
      <c r="L28" s="813">
        <v>108341.79000000001</v>
      </c>
      <c r="M28" s="813">
        <v>108341.8</v>
      </c>
      <c r="N28" s="813">
        <v>108341.8</v>
      </c>
      <c r="O28" s="813">
        <v>108341.79999999999</v>
      </c>
      <c r="P28" s="813">
        <v>108341.8</v>
      </c>
      <c r="Q28" s="813">
        <v>108341.8</v>
      </c>
      <c r="R28" s="813">
        <v>108341.79999999999</v>
      </c>
      <c r="S28" s="813">
        <v>108341.8</v>
      </c>
      <c r="T28" s="813">
        <v>108341.8</v>
      </c>
      <c r="U28" s="532">
        <v>2021</v>
      </c>
      <c r="W28" s="425">
        <f t="shared" si="3"/>
        <v>0</v>
      </c>
      <c r="X28" s="685" t="s">
        <v>987</v>
      </c>
      <c r="Y28" s="671">
        <v>-108341.8</v>
      </c>
      <c r="Z28" s="671">
        <v>-108341.8</v>
      </c>
      <c r="AA28" s="671">
        <v>-108341.8</v>
      </c>
      <c r="AB28" s="681">
        <v>-108341.8</v>
      </c>
      <c r="AC28" s="671">
        <v>-108341.8</v>
      </c>
      <c r="AD28" s="671">
        <v>-108341.8</v>
      </c>
      <c r="AE28" s="671">
        <v>-108341.8</v>
      </c>
      <c r="AF28" s="671">
        <v>-108341.8</v>
      </c>
      <c r="AG28" s="671">
        <v>-108341.8</v>
      </c>
      <c r="AH28" s="671">
        <v>-108341.8</v>
      </c>
      <c r="AI28" s="671">
        <v>-108341.8</v>
      </c>
      <c r="AJ28" s="671">
        <v>-108341.8</v>
      </c>
      <c r="AK28" s="671"/>
      <c r="AL28" s="671"/>
      <c r="AM28" s="671"/>
      <c r="AN28" s="671"/>
      <c r="AO28" s="671"/>
      <c r="AP28" s="671"/>
      <c r="AQ28" s="671"/>
      <c r="AR28" s="671"/>
      <c r="AS28" s="671"/>
      <c r="AT28" s="671"/>
      <c r="AU28" s="671"/>
      <c r="AV28" s="671"/>
    </row>
    <row r="29" spans="2:48" ht="15.75">
      <c r="B29" s="536" t="s">
        <v>655</v>
      </c>
      <c r="C29" s="752">
        <v>-1253450.79</v>
      </c>
      <c r="D29" s="752">
        <v>0</v>
      </c>
      <c r="E29" s="752">
        <v>0</v>
      </c>
      <c r="F29" s="752">
        <v>0</v>
      </c>
      <c r="G29" s="752">
        <v>0</v>
      </c>
      <c r="H29" s="811">
        <v>-10937861</v>
      </c>
      <c r="I29" s="524" t="e">
        <f>-#REF!</f>
        <v>#REF!</v>
      </c>
      <c r="J29" s="524" t="e">
        <f>-#REF!</f>
        <v>#REF!</v>
      </c>
      <c r="K29" s="524" t="e">
        <f>-#REF!</f>
        <v>#REF!</v>
      </c>
      <c r="L29" s="524" t="e">
        <f>-#REF!</f>
        <v>#REF!</v>
      </c>
      <c r="M29" s="524" t="e">
        <f>-#REF!</f>
        <v>#REF!</v>
      </c>
      <c r="N29" s="524" t="e">
        <f>-#REF!</f>
        <v>#REF!</v>
      </c>
      <c r="O29" s="524" t="e">
        <f>-#REF!</f>
        <v>#REF!</v>
      </c>
      <c r="P29" s="524" t="e">
        <f>-#REF!</f>
        <v>#REF!</v>
      </c>
      <c r="Q29" s="524" t="e">
        <f>-#REF!</f>
        <v>#REF!</v>
      </c>
      <c r="R29" s="524" t="e">
        <f>-#REF!</f>
        <v>#REF!</v>
      </c>
      <c r="S29" s="524" t="e">
        <f>-#REF!</f>
        <v>#REF!</v>
      </c>
      <c r="T29" s="708" t="e">
        <f>-#REF!-#REF!</f>
        <v>#REF!</v>
      </c>
      <c r="U29" s="538" t="e">
        <f>-#REF!-U16</f>
        <v>#REF!</v>
      </c>
      <c r="V29" s="525" t="e">
        <f>SUM(I16:U16,I29:U29)+#REF!</f>
        <v>#REF!</v>
      </c>
      <c r="W29" s="425">
        <f t="shared" si="3"/>
        <v>-1253450.79</v>
      </c>
      <c r="X29" s="685" t="s">
        <v>655</v>
      </c>
      <c r="Y29" s="671">
        <v>0</v>
      </c>
      <c r="Z29" s="671"/>
      <c r="AA29" s="671">
        <v>0</v>
      </c>
      <c r="AB29" s="681">
        <v>-2738800</v>
      </c>
      <c r="AC29" s="671">
        <v>-656000</v>
      </c>
      <c r="AD29" s="674">
        <v>0</v>
      </c>
      <c r="AE29" s="671">
        <v>-394700</v>
      </c>
      <c r="AF29" s="671">
        <v>0</v>
      </c>
      <c r="AG29" s="671">
        <v>-120000</v>
      </c>
      <c r="AH29" s="674">
        <v>0</v>
      </c>
      <c r="AI29" s="671">
        <v>0</v>
      </c>
      <c r="AJ29" s="686">
        <v>-12865693.880000001</v>
      </c>
      <c r="AK29" s="675"/>
      <c r="AL29" s="675"/>
      <c r="AM29" s="675"/>
      <c r="AN29" s="675"/>
      <c r="AO29" s="675"/>
      <c r="AP29" s="675"/>
      <c r="AQ29" s="675"/>
      <c r="AR29" s="675"/>
      <c r="AS29" s="675"/>
      <c r="AT29" s="675"/>
      <c r="AU29" s="675"/>
      <c r="AV29" s="675"/>
    </row>
    <row r="30" spans="2:48" ht="16.5" thickBot="1">
      <c r="B30" s="539" t="s">
        <v>617</v>
      </c>
      <c r="C30" s="511">
        <v>0</v>
      </c>
      <c r="D30" s="511">
        <v>0</v>
      </c>
      <c r="E30" s="511">
        <v>0</v>
      </c>
      <c r="F30" s="511">
        <v>0</v>
      </c>
      <c r="G30" s="511">
        <v>0</v>
      </c>
      <c r="H30" s="511">
        <v>0</v>
      </c>
      <c r="I30" s="516">
        <f t="shared" ref="I30" si="6">AK30</f>
        <v>0</v>
      </c>
      <c r="J30" s="516">
        <f t="shared" ref="J30" si="7">AL30</f>
        <v>0</v>
      </c>
      <c r="K30" s="516">
        <f t="shared" ref="K30:K31" si="8">AM30</f>
        <v>0</v>
      </c>
      <c r="L30" s="516">
        <f t="shared" ref="L30" si="9">AN30</f>
        <v>0</v>
      </c>
      <c r="M30" s="516">
        <f t="shared" ref="M30" si="10">AO30</f>
        <v>0</v>
      </c>
      <c r="N30" s="516">
        <f t="shared" ref="N30" si="11">AP30</f>
        <v>0</v>
      </c>
      <c r="O30" s="516">
        <f t="shared" ref="O30" si="12">AQ30</f>
        <v>0</v>
      </c>
      <c r="P30" s="516">
        <f t="shared" ref="P30" si="13">AR30</f>
        <v>0</v>
      </c>
      <c r="Q30" s="516">
        <f t="shared" ref="Q30" si="14">AS30</f>
        <v>0</v>
      </c>
      <c r="R30" s="516">
        <f t="shared" ref="R30" si="15">AT30</f>
        <v>0</v>
      </c>
      <c r="S30" s="516">
        <f t="shared" ref="S30" si="16">AU30</f>
        <v>0</v>
      </c>
      <c r="T30" s="516">
        <f t="shared" ref="T30" si="17">AV30</f>
        <v>0</v>
      </c>
      <c r="U30" s="543">
        <v>2021</v>
      </c>
      <c r="W30" s="425">
        <f t="shared" si="3"/>
        <v>0</v>
      </c>
      <c r="X30" s="684" t="s">
        <v>617</v>
      </c>
      <c r="Y30" s="671">
        <v>0</v>
      </c>
      <c r="Z30" s="675">
        <v>0</v>
      </c>
      <c r="AA30" s="675">
        <v>0</v>
      </c>
      <c r="AB30" s="675">
        <v>0</v>
      </c>
      <c r="AC30" s="675">
        <v>-189774.17</v>
      </c>
      <c r="AD30" s="675">
        <v>-166288.09</v>
      </c>
      <c r="AE30" s="675">
        <v>-503938</v>
      </c>
      <c r="AF30" s="675">
        <v>-430000</v>
      </c>
      <c r="AG30" s="675">
        <v>0</v>
      </c>
      <c r="AH30" s="675">
        <v>0</v>
      </c>
      <c r="AI30" s="675">
        <v>0</v>
      </c>
      <c r="AJ30" s="675">
        <v>-430000</v>
      </c>
      <c r="AK30" s="675"/>
      <c r="AL30" s="675"/>
      <c r="AM30" s="675"/>
      <c r="AN30" s="675"/>
      <c r="AO30" s="675"/>
      <c r="AP30" s="675"/>
      <c r="AQ30" s="675"/>
      <c r="AR30" s="675"/>
      <c r="AS30" s="675"/>
      <c r="AT30" s="675"/>
      <c r="AU30" s="675"/>
      <c r="AV30" s="675"/>
    </row>
    <row r="31" spans="2:48" ht="15.75">
      <c r="B31" s="534" t="s">
        <v>656</v>
      </c>
      <c r="C31" s="511">
        <v>0</v>
      </c>
      <c r="D31" s="511">
        <v>0</v>
      </c>
      <c r="E31" s="511">
        <v>0</v>
      </c>
      <c r="F31" s="511">
        <v>0</v>
      </c>
      <c r="G31" s="511">
        <v>0</v>
      </c>
      <c r="H31" s="511">
        <v>0</v>
      </c>
      <c r="I31" s="516">
        <f t="shared" ref="I31" si="18">AK31</f>
        <v>0</v>
      </c>
      <c r="J31" s="516">
        <f t="shared" ref="J31" si="19">AL31</f>
        <v>0</v>
      </c>
      <c r="K31" s="516">
        <f t="shared" si="8"/>
        <v>0</v>
      </c>
      <c r="L31" s="516">
        <f t="shared" ref="L31" si="20">AN31</f>
        <v>0</v>
      </c>
      <c r="M31" s="516">
        <f t="shared" ref="M31" si="21">AO31</f>
        <v>0</v>
      </c>
      <c r="N31" s="516">
        <f t="shared" ref="N31" si="22">AP31</f>
        <v>0</v>
      </c>
      <c r="O31" s="516">
        <f t="shared" ref="O31" si="23">AQ31</f>
        <v>0</v>
      </c>
      <c r="P31" s="516">
        <f t="shared" ref="P31" si="24">AR31</f>
        <v>0</v>
      </c>
      <c r="Q31" s="516">
        <f t="shared" ref="Q31" si="25">AS31</f>
        <v>0</v>
      </c>
      <c r="R31" s="516">
        <f t="shared" ref="R31" si="26">AT31</f>
        <v>0</v>
      </c>
      <c r="S31" s="516">
        <f t="shared" ref="S31" si="27">AU31</f>
        <v>0</v>
      </c>
      <c r="T31" s="752">
        <v>0</v>
      </c>
      <c r="U31" s="425" t="s">
        <v>658</v>
      </c>
      <c r="W31" s="425">
        <f t="shared" si="3"/>
        <v>0</v>
      </c>
      <c r="X31" s="685" t="s">
        <v>656</v>
      </c>
      <c r="Y31" s="671">
        <v>0</v>
      </c>
      <c r="Z31" s="671">
        <v>0</v>
      </c>
      <c r="AA31" s="671">
        <v>0</v>
      </c>
      <c r="AB31" s="681">
        <v>380803.96</v>
      </c>
      <c r="AC31" s="671">
        <v>1227912.6399999999</v>
      </c>
      <c r="AD31" s="687">
        <v>1321316.6300000001</v>
      </c>
      <c r="AE31" s="673">
        <v>1069967</v>
      </c>
      <c r="AF31" s="671">
        <v>0</v>
      </c>
      <c r="AG31" s="671">
        <v>0</v>
      </c>
      <c r="AH31" s="671">
        <v>0</v>
      </c>
      <c r="AI31" s="688">
        <v>0</v>
      </c>
      <c r="AJ31" s="686">
        <v>0</v>
      </c>
      <c r="AK31" s="688"/>
      <c r="AL31" s="671"/>
      <c r="AM31" s="671"/>
      <c r="AN31" s="671"/>
      <c r="AO31" s="671"/>
      <c r="AP31" s="671"/>
      <c r="AQ31" s="671"/>
      <c r="AR31" s="671"/>
      <c r="AS31" s="671"/>
      <c r="AT31" s="671"/>
      <c r="AU31" s="671"/>
      <c r="AV31" s="671"/>
    </row>
    <row r="32" spans="2:48" ht="15.75">
      <c r="B32" s="505" t="s">
        <v>988</v>
      </c>
      <c r="C32" s="511">
        <v>0</v>
      </c>
      <c r="D32" s="511">
        <v>0</v>
      </c>
      <c r="E32" s="511">
        <v>0</v>
      </c>
      <c r="F32" s="511">
        <v>0</v>
      </c>
      <c r="G32" s="511">
        <v>0</v>
      </c>
      <c r="H32" s="511">
        <v>0</v>
      </c>
      <c r="I32" s="516">
        <f t="shared" ref="I32" si="28">AK32</f>
        <v>0</v>
      </c>
      <c r="J32" s="516">
        <f t="shared" ref="J32" si="29">AL32</f>
        <v>0</v>
      </c>
      <c r="K32" s="516">
        <f t="shared" ref="K32" si="30">AM32</f>
        <v>0</v>
      </c>
      <c r="L32" s="516">
        <f t="shared" ref="L32" si="31">AN32</f>
        <v>0</v>
      </c>
      <c r="M32" s="516">
        <f t="shared" ref="M32" si="32">AO32</f>
        <v>0</v>
      </c>
      <c r="N32" s="516">
        <f t="shared" ref="N32" si="33">AP32</f>
        <v>0</v>
      </c>
      <c r="O32" s="516">
        <f t="shared" ref="O32" si="34">AQ32</f>
        <v>0</v>
      </c>
      <c r="P32" s="516">
        <f t="shared" ref="P32" si="35">AR32</f>
        <v>0</v>
      </c>
      <c r="Q32" s="516">
        <f t="shared" ref="Q32" si="36">AS32</f>
        <v>0</v>
      </c>
      <c r="R32" s="516">
        <f t="shared" ref="R32" si="37">AT32</f>
        <v>0</v>
      </c>
      <c r="S32" s="516">
        <f t="shared" ref="S32" si="38">AU32</f>
        <v>0</v>
      </c>
      <c r="T32" s="516"/>
      <c r="W32" s="425">
        <f>VLOOKUP(X32,B:C,2,FALSE)</f>
        <v>0</v>
      </c>
      <c r="X32" s="689" t="s">
        <v>988</v>
      </c>
      <c r="Y32" s="671">
        <v>-2362.36</v>
      </c>
      <c r="Z32" s="671">
        <v>-2069.4699999999998</v>
      </c>
      <c r="AA32" s="671">
        <v>-2352.4900000000098</v>
      </c>
      <c r="AB32" s="681">
        <v>-5708.8799999999901</v>
      </c>
      <c r="AC32" s="671">
        <v>-2279.7800000000002</v>
      </c>
      <c r="AD32" s="671">
        <v>-2192.19</v>
      </c>
      <c r="AE32" s="681"/>
      <c r="AF32" s="671">
        <v>-381712.7125254795</v>
      </c>
      <c r="AG32" s="690">
        <v>-1230915.1387156164</v>
      </c>
      <c r="AH32" s="690">
        <v>-723029.47315965756</v>
      </c>
      <c r="AI32" s="690">
        <v>-882377.56226158899</v>
      </c>
      <c r="AJ32" s="690">
        <v>-797965.6041643013</v>
      </c>
      <c r="AK32" s="671"/>
      <c r="AL32" s="671"/>
      <c r="AM32" s="671"/>
      <c r="AN32" s="671"/>
      <c r="AO32" s="671"/>
      <c r="AP32" s="671"/>
      <c r="AQ32" s="671"/>
      <c r="AR32" s="671"/>
      <c r="AS32" s="671"/>
      <c r="AT32" s="671"/>
      <c r="AU32" s="671"/>
      <c r="AV32" s="671"/>
    </row>
    <row r="33" spans="2:48">
      <c r="B33" s="721" t="s">
        <v>948</v>
      </c>
      <c r="C33" s="721"/>
      <c r="D33" s="721"/>
      <c r="E33" s="721"/>
      <c r="F33" s="715"/>
      <c r="G33" s="715">
        <v>0</v>
      </c>
      <c r="H33" s="715"/>
      <c r="I33" s="715"/>
      <c r="J33" s="715"/>
      <c r="K33" s="715"/>
      <c r="L33" s="715"/>
      <c r="M33" s="715"/>
      <c r="N33" s="715"/>
      <c r="O33" s="715"/>
      <c r="P33" s="715"/>
      <c r="Q33" s="715"/>
      <c r="R33" s="715"/>
      <c r="S33" s="715"/>
      <c r="T33" s="715"/>
      <c r="X33" s="425" t="s">
        <v>948</v>
      </c>
      <c r="Y33" s="425">
        <v>0</v>
      </c>
      <c r="AJ33" s="425">
        <v>0</v>
      </c>
    </row>
    <row r="34" spans="2:48">
      <c r="B34" s="505" t="s">
        <v>949</v>
      </c>
      <c r="C34" s="511">
        <v>0</v>
      </c>
      <c r="D34" s="511">
        <v>0</v>
      </c>
      <c r="E34" s="511">
        <v>0</v>
      </c>
      <c r="F34" s="511">
        <v>0</v>
      </c>
      <c r="G34" s="511">
        <v>0</v>
      </c>
      <c r="H34" s="511">
        <v>7000000</v>
      </c>
      <c r="I34" s="524">
        <f>IF(I2='PREVISIÓN PRÉSTAMO'!$D$3,'PREVISIÓN PRÉSTAMO'!$D$4,0)+IF(I2=13-'PREVISIÓN PRÉSTAMO'!$E$12,'PREVISIÓN PRÉSTAMO'!$F$4,0)</f>
        <v>24795928.002999999</v>
      </c>
      <c r="J34" s="524">
        <f>IF(J2='PREVISIÓN PRÉSTAMO'!$D$3,'PREVISIÓN PRÉSTAMO'!$D$4,0)+IF(J2=13-'PREVISIÓN PRÉSTAMO'!$E$12,'PREVISIÓN PRÉSTAMO'!$F$4,0)</f>
        <v>0</v>
      </c>
      <c r="K34" s="524">
        <f>IF(K2='PREVISIÓN PRÉSTAMO'!$D$3,'PREVISIÓN PRÉSTAMO'!$D$4,0)+IF(K2=13-'PREVISIÓN PRÉSTAMO'!$E$12,'PREVISIÓN PRÉSTAMO'!$F$4,0)</f>
        <v>0</v>
      </c>
      <c r="L34" s="524">
        <f>IF(L2='PREVISIÓN PRÉSTAMO'!$D$3,'PREVISIÓN PRÉSTAMO'!$D$4,0)+IF(L2=13-'PREVISIÓN PRÉSTAMO'!$E$12,'PREVISIÓN PRÉSTAMO'!$F$4,0)</f>
        <v>0</v>
      </c>
      <c r="M34" s="524">
        <f>IF(M2='PREVISIÓN PRÉSTAMO'!$D$3,'PREVISIÓN PRÉSTAMO'!$D$4,0)+IF(M2=13-'PREVISIÓN PRÉSTAMO'!$E$12,'PREVISIÓN PRÉSTAMO'!$F$4,0)</f>
        <v>0</v>
      </c>
      <c r="N34" s="524">
        <f>IF(N2='PREVISIÓN PRÉSTAMO'!$D$3,'PREVISIÓN PRÉSTAMO'!$D$4,0)+IF(N2=13-'PREVISIÓN PRÉSTAMO'!$E$12,'PREVISIÓN PRÉSTAMO'!$F$4,0)</f>
        <v>0</v>
      </c>
      <c r="O34" s="524">
        <f>IF(O2='PREVISIÓN PRÉSTAMO'!$D$3,'PREVISIÓN PRÉSTAMO'!$D$4,0)+IF(O2=13-'PREVISIÓN PRÉSTAMO'!$E$12,'PREVISIÓN PRÉSTAMO'!$F$4,0)</f>
        <v>0</v>
      </c>
      <c r="P34" s="524">
        <f>IF(P2='PREVISIÓN PRÉSTAMO'!$D$3,'PREVISIÓN PRÉSTAMO'!$D$4,0)+IF(P2=13-'PREVISIÓN PRÉSTAMO'!$E$12,'PREVISIÓN PRÉSTAMO'!$F$4,0)</f>
        <v>0</v>
      </c>
      <c r="Q34" s="524">
        <f>IF(Q2='PREVISIÓN PRÉSTAMO'!$D$3,'PREVISIÓN PRÉSTAMO'!$D$4,0)+IF(Q2=13-'PREVISIÓN PRÉSTAMO'!$E$12,'PREVISIÓN PRÉSTAMO'!$F$4,0)</f>
        <v>0</v>
      </c>
      <c r="R34" s="524">
        <f>IF(R2='PREVISIÓN PRÉSTAMO'!$D$3,'PREVISIÓN PRÉSTAMO'!$D$4,0)+IF(R2=13-'PREVISIÓN PRÉSTAMO'!$E$12,'PREVISIÓN PRÉSTAMO'!$F$4,0)</f>
        <v>0</v>
      </c>
      <c r="S34" s="524">
        <f>IF(S2='PREVISIÓN PRÉSTAMO'!$D$3,'PREVISIÓN PRÉSTAMO'!$D$4,0)+IF(S2=13-'PREVISIÓN PRÉSTAMO'!$E$12,'PREVISIÓN PRÉSTAMO'!$F$4,0)</f>
        <v>0</v>
      </c>
      <c r="T34" s="524">
        <f>IF(T2='PREVISIÓN PRÉSTAMO'!$D$3,'PREVISIÓN PRÉSTAMO'!$D$4,0)+IF(T2=13-'PREVISIÓN PRÉSTAMO'!$E$12,'PREVISIÓN PRÉSTAMO'!$F$4,0)</f>
        <v>0</v>
      </c>
      <c r="X34" s="425" t="s">
        <v>949</v>
      </c>
      <c r="AJ34" s="425">
        <v>9668363.3116673008</v>
      </c>
    </row>
    <row r="35" spans="2:48" ht="15.75">
      <c r="B35" s="506" t="s">
        <v>629</v>
      </c>
      <c r="C35" s="513">
        <f t="shared" ref="C35:H35" si="39">SUM(C11:C34)</f>
        <v>-4995479.101027742</v>
      </c>
      <c r="D35" s="513">
        <f t="shared" si="39"/>
        <v>-3423091.8405655497</v>
      </c>
      <c r="E35" s="513">
        <f t="shared" si="39"/>
        <v>-3887008.6647361182</v>
      </c>
      <c r="F35" s="513">
        <f t="shared" si="39"/>
        <v>-3589805.7530473359</v>
      </c>
      <c r="G35" s="513">
        <f t="shared" si="39"/>
        <v>-3620489.6126588797</v>
      </c>
      <c r="H35" s="513">
        <f t="shared" si="39"/>
        <v>-7630150.0295312777</v>
      </c>
      <c r="I35" s="513" t="e">
        <f t="shared" ref="I35:T35" si="40">SUM(I11:I34)</f>
        <v>#REF!</v>
      </c>
      <c r="J35" s="513" t="e">
        <f t="shared" si="40"/>
        <v>#REF!</v>
      </c>
      <c r="K35" s="513" t="e">
        <f t="shared" si="40"/>
        <v>#REF!</v>
      </c>
      <c r="L35" s="513" t="e">
        <f t="shared" si="40"/>
        <v>#REF!</v>
      </c>
      <c r="M35" s="513" t="e">
        <f t="shared" si="40"/>
        <v>#REF!</v>
      </c>
      <c r="N35" s="513" t="e">
        <f t="shared" si="40"/>
        <v>#REF!</v>
      </c>
      <c r="O35" s="513" t="e">
        <f t="shared" si="40"/>
        <v>#REF!</v>
      </c>
      <c r="P35" s="513" t="e">
        <f t="shared" si="40"/>
        <v>#REF!</v>
      </c>
      <c r="Q35" s="513" t="e">
        <f t="shared" si="40"/>
        <v>#REF!</v>
      </c>
      <c r="R35" s="513" t="e">
        <f t="shared" si="40"/>
        <v>#REF!</v>
      </c>
      <c r="S35" s="513" t="e">
        <f t="shared" si="40"/>
        <v>#REF!</v>
      </c>
      <c r="T35" s="513" t="e">
        <f t="shared" si="40"/>
        <v>#REF!</v>
      </c>
      <c r="W35" s="425">
        <f t="shared" ref="W35:W57" si="41">VLOOKUP(X35,B:C,2,FALSE)</f>
        <v>-4995479.101027742</v>
      </c>
      <c r="X35" s="691" t="s">
        <v>629</v>
      </c>
      <c r="Y35" s="692">
        <v>-6137509.4700000007</v>
      </c>
      <c r="Z35" s="692">
        <v>-4134550.2199999997</v>
      </c>
      <c r="AA35" s="692">
        <v>-5980253.8100000005</v>
      </c>
      <c r="AB35" s="692">
        <v>-6960160.6900000004</v>
      </c>
      <c r="AC35" s="692">
        <v>-3462122.4999999995</v>
      </c>
      <c r="AD35" s="692">
        <v>-3448830.4599999995</v>
      </c>
      <c r="AE35" s="692">
        <v>-4076499.9799919212</v>
      </c>
      <c r="AF35" s="692">
        <v>-4640922.7153674373</v>
      </c>
      <c r="AG35" s="692">
        <v>-6095432.1166179813</v>
      </c>
      <c r="AH35" s="692">
        <v>-5003802.5181984166</v>
      </c>
      <c r="AI35" s="692">
        <v>-7726361.1765430607</v>
      </c>
      <c r="AJ35" s="692">
        <v>-10874547.224445902</v>
      </c>
      <c r="AK35" s="692"/>
      <c r="AL35" s="692"/>
      <c r="AM35" s="692"/>
      <c r="AN35" s="692"/>
      <c r="AO35" s="692"/>
      <c r="AP35" s="692"/>
      <c r="AQ35" s="692"/>
      <c r="AR35" s="692"/>
      <c r="AS35" s="692"/>
      <c r="AT35" s="692"/>
      <c r="AU35" s="692"/>
      <c r="AV35" s="692"/>
    </row>
    <row r="36" spans="2:48" ht="15.75">
      <c r="B36" s="507" t="s">
        <v>630</v>
      </c>
      <c r="C36" s="514">
        <f t="shared" ref="C36:H36" si="42">C5+C9+C35</f>
        <v>11208508.143338773</v>
      </c>
      <c r="D36" s="514">
        <f t="shared" si="42"/>
        <v>9789043.9308685642</v>
      </c>
      <c r="E36" s="514">
        <f t="shared" si="42"/>
        <v>7658999.1624039691</v>
      </c>
      <c r="F36" s="514">
        <f t="shared" si="42"/>
        <v>9847457.1277056299</v>
      </c>
      <c r="G36" s="514">
        <f t="shared" si="42"/>
        <v>13362417.624145914</v>
      </c>
      <c r="H36" s="514">
        <f t="shared" si="42"/>
        <v>16760795.101179142</v>
      </c>
      <c r="I36" s="514" t="e">
        <f t="shared" ref="I36:T36" si="43">I5+I9+I35</f>
        <v>#REF!</v>
      </c>
      <c r="J36" s="514" t="e">
        <f t="shared" si="43"/>
        <v>#REF!</v>
      </c>
      <c r="K36" s="514" t="e">
        <f t="shared" si="43"/>
        <v>#REF!</v>
      </c>
      <c r="L36" s="514" t="e">
        <f t="shared" si="43"/>
        <v>#REF!</v>
      </c>
      <c r="M36" s="514" t="e">
        <f t="shared" si="43"/>
        <v>#REF!</v>
      </c>
      <c r="N36" s="514" t="e">
        <f t="shared" si="43"/>
        <v>#REF!</v>
      </c>
      <c r="O36" s="514" t="e">
        <f t="shared" si="43"/>
        <v>#REF!</v>
      </c>
      <c r="P36" s="514" t="e">
        <f t="shared" si="43"/>
        <v>#REF!</v>
      </c>
      <c r="Q36" s="514" t="e">
        <f t="shared" si="43"/>
        <v>#REF!</v>
      </c>
      <c r="R36" s="514" t="e">
        <f t="shared" si="43"/>
        <v>#REF!</v>
      </c>
      <c r="S36" s="514" t="e">
        <f t="shared" si="43"/>
        <v>#REF!</v>
      </c>
      <c r="T36" s="514" t="e">
        <f t="shared" si="43"/>
        <v>#REF!</v>
      </c>
      <c r="W36" s="425">
        <f t="shared" si="41"/>
        <v>11208508.143338773</v>
      </c>
      <c r="X36" s="693" t="s">
        <v>630</v>
      </c>
      <c r="Y36" s="694">
        <v>17374888.450000003</v>
      </c>
      <c r="Z36" s="694">
        <v>14420541.289999999</v>
      </c>
      <c r="AA36" s="694">
        <v>10308975.259999998</v>
      </c>
      <c r="AB36" s="694">
        <v>4603161.5099999988</v>
      </c>
      <c r="AC36" s="694">
        <v>2699722.5399999996</v>
      </c>
      <c r="AD36" s="694">
        <v>5543567.25</v>
      </c>
      <c r="AE36" s="694">
        <v>3944222.238216456</v>
      </c>
      <c r="AF36" s="694">
        <v>4801625.5263433894</v>
      </c>
      <c r="AG36" s="694">
        <v>9558298.1136376429</v>
      </c>
      <c r="AH36" s="694">
        <v>14681915.383812562</v>
      </c>
      <c r="AI36" s="694">
        <v>10279101.264548164</v>
      </c>
      <c r="AJ36" s="694">
        <v>5128838.5560329799</v>
      </c>
      <c r="AK36" s="694"/>
      <c r="AL36" s="694"/>
      <c r="AM36" s="694"/>
      <c r="AN36" s="694"/>
      <c r="AO36" s="694"/>
      <c r="AP36" s="694"/>
      <c r="AQ36" s="694"/>
      <c r="AR36" s="694"/>
      <c r="AS36" s="694"/>
      <c r="AT36" s="694"/>
      <c r="AU36" s="694"/>
      <c r="AV36" s="694"/>
    </row>
    <row r="37" spans="2:48" ht="15.75">
      <c r="B37" s="517" t="s">
        <v>631</v>
      </c>
      <c r="C37" s="748"/>
      <c r="D37" s="748"/>
      <c r="E37" s="748"/>
      <c r="F37" s="518"/>
      <c r="G37" s="518"/>
      <c r="H37" s="518"/>
      <c r="I37" s="518"/>
      <c r="J37" s="518"/>
      <c r="K37" s="518"/>
      <c r="L37" s="518"/>
      <c r="M37" s="518"/>
      <c r="N37" s="518"/>
      <c r="O37" s="518"/>
      <c r="P37" s="518"/>
      <c r="Q37" s="518"/>
      <c r="R37" s="518"/>
      <c r="S37" s="518"/>
      <c r="T37" s="518"/>
      <c r="W37" s="425">
        <f t="shared" si="41"/>
        <v>0</v>
      </c>
      <c r="X37" s="664" t="s">
        <v>631</v>
      </c>
      <c r="Y37" s="695"/>
      <c r="Z37" s="679"/>
      <c r="AA37" s="679"/>
      <c r="AB37" s="679"/>
      <c r="AC37" s="679"/>
      <c r="AD37" s="679"/>
      <c r="AE37" s="679"/>
      <c r="AF37" s="679"/>
      <c r="AG37" s="679"/>
      <c r="AH37" s="679"/>
      <c r="AI37" s="679"/>
      <c r="AJ37" s="679"/>
      <c r="AK37" s="679"/>
      <c r="AL37" s="679"/>
      <c r="AM37" s="679"/>
      <c r="AN37" s="679"/>
      <c r="AO37" s="679"/>
      <c r="AP37" s="679"/>
      <c r="AQ37" s="679"/>
      <c r="AR37" s="679"/>
      <c r="AS37" s="679"/>
      <c r="AT37" s="679"/>
      <c r="AU37" s="679"/>
      <c r="AV37" s="679"/>
    </row>
    <row r="38" spans="2:48" ht="15.75">
      <c r="B38" s="505" t="s">
        <v>632</v>
      </c>
      <c r="C38" s="511">
        <v>0</v>
      </c>
      <c r="D38" s="511">
        <v>0</v>
      </c>
      <c r="E38" s="511">
        <v>0</v>
      </c>
      <c r="F38" s="511">
        <v>5365833.33</v>
      </c>
      <c r="G38" s="511">
        <v>7512166.6699999999</v>
      </c>
      <c r="H38" s="511">
        <v>0</v>
      </c>
      <c r="I38" s="524" t="e">
        <f>#REF!-I39</f>
        <v>#REF!</v>
      </c>
      <c r="J38" s="524" t="e">
        <f>#REF!-J39</f>
        <v>#REF!</v>
      </c>
      <c r="K38" s="524" t="e">
        <f>#REF!-K39</f>
        <v>#REF!</v>
      </c>
      <c r="L38" s="524" t="e">
        <f>#REF!-L39</f>
        <v>#REF!</v>
      </c>
      <c r="M38" s="524" t="e">
        <f>#REF!-M39</f>
        <v>#REF!</v>
      </c>
      <c r="N38" s="524" t="e">
        <f>#REF!-N39</f>
        <v>#REF!</v>
      </c>
      <c r="O38" s="524" t="e">
        <f>#REF!-O39</f>
        <v>#REF!</v>
      </c>
      <c r="P38" s="524" t="e">
        <f>#REF!-P39</f>
        <v>#REF!</v>
      </c>
      <c r="Q38" s="524" t="e">
        <f>#REF!-Q39</f>
        <v>#REF!</v>
      </c>
      <c r="R38" s="524" t="e">
        <f>#REF!-R39</f>
        <v>#REF!</v>
      </c>
      <c r="S38" s="524" t="e">
        <f>#REF!-S39</f>
        <v>#REF!</v>
      </c>
      <c r="T38" s="524" t="e">
        <f>#REF!-T39</f>
        <v>#REF!</v>
      </c>
      <c r="U38" s="714" t="e">
        <f>SUM(K38:T42,K44:T45,K48:T48,K51:T52)-SUM(#REF!)</f>
        <v>#REF!</v>
      </c>
      <c r="W38" s="425">
        <f t="shared" si="41"/>
        <v>0</v>
      </c>
      <c r="X38" s="685" t="s">
        <v>632</v>
      </c>
      <c r="Y38" s="671">
        <v>0</v>
      </c>
      <c r="Z38" s="671">
        <v>0</v>
      </c>
      <c r="AA38" s="671">
        <v>0</v>
      </c>
      <c r="AB38" s="671">
        <v>0</v>
      </c>
      <c r="AC38" s="671">
        <v>0</v>
      </c>
      <c r="AD38" s="671">
        <v>0</v>
      </c>
      <c r="AE38" s="671">
        <v>0</v>
      </c>
      <c r="AF38" s="671">
        <v>4383062.43</v>
      </c>
      <c r="AG38" s="671">
        <v>2897468.79</v>
      </c>
      <c r="AH38" s="671">
        <v>0</v>
      </c>
      <c r="AI38" s="671">
        <v>2897468.78</v>
      </c>
      <c r="AJ38" s="671">
        <v>0</v>
      </c>
      <c r="AK38" s="671"/>
      <c r="AL38" s="671"/>
      <c r="AM38" s="696"/>
      <c r="AN38" s="696"/>
      <c r="AO38" s="696"/>
      <c r="AP38" s="696"/>
      <c r="AQ38" s="696"/>
      <c r="AR38" s="696"/>
      <c r="AS38" s="696"/>
      <c r="AT38" s="696"/>
      <c r="AU38" s="696"/>
      <c r="AV38" s="696"/>
    </row>
    <row r="39" spans="2:48" ht="15.75">
      <c r="B39" s="505" t="s">
        <v>633</v>
      </c>
      <c r="C39" s="511">
        <v>0</v>
      </c>
      <c r="D39" s="511">
        <v>0</v>
      </c>
      <c r="E39" s="511">
        <v>3050688.76</v>
      </c>
      <c r="F39" s="511">
        <v>0</v>
      </c>
      <c r="G39" s="511">
        <v>0</v>
      </c>
      <c r="H39" s="511">
        <v>0</v>
      </c>
      <c r="I39" s="524" t="e">
        <f>#REF!</f>
        <v>#REF!</v>
      </c>
      <c r="J39" s="524" t="e">
        <f>#REF!</f>
        <v>#REF!</v>
      </c>
      <c r="K39" s="524" t="e">
        <f>#REF!</f>
        <v>#REF!</v>
      </c>
      <c r="L39" s="524" t="e">
        <f>#REF!</f>
        <v>#REF!</v>
      </c>
      <c r="M39" s="524" t="e">
        <f>#REF!</f>
        <v>#REF!</v>
      </c>
      <c r="N39" s="524" t="e">
        <f>#REF!</f>
        <v>#REF!</v>
      </c>
      <c r="O39" s="524" t="e">
        <f>#REF!</f>
        <v>#REF!</v>
      </c>
      <c r="P39" s="524" t="e">
        <f>#REF!</f>
        <v>#REF!</v>
      </c>
      <c r="Q39" s="524" t="e">
        <f>#REF!</f>
        <v>#REF!</v>
      </c>
      <c r="R39" s="524" t="e">
        <f>#REF!</f>
        <v>#REF!</v>
      </c>
      <c r="S39" s="524" t="e">
        <f>#REF!</f>
        <v>#REF!</v>
      </c>
      <c r="T39" s="524" t="e">
        <f>#REF!</f>
        <v>#REF!</v>
      </c>
      <c r="W39" s="425">
        <f t="shared" si="41"/>
        <v>0</v>
      </c>
      <c r="X39" s="685" t="s">
        <v>633</v>
      </c>
      <c r="Y39" s="671">
        <v>0</v>
      </c>
      <c r="Z39" s="671">
        <v>0</v>
      </c>
      <c r="AA39" s="671">
        <v>0</v>
      </c>
      <c r="AB39" s="671">
        <v>0</v>
      </c>
      <c r="AC39" s="671">
        <v>0</v>
      </c>
      <c r="AD39" s="697">
        <v>0</v>
      </c>
      <c r="AE39" s="671">
        <v>0</v>
      </c>
      <c r="AF39" s="671">
        <v>3050688.76</v>
      </c>
      <c r="AG39" s="671">
        <v>0</v>
      </c>
      <c r="AH39" s="671">
        <v>0</v>
      </c>
      <c r="AI39" s="671">
        <v>0</v>
      </c>
      <c r="AJ39" s="671">
        <v>0</v>
      </c>
      <c r="AK39" s="671"/>
      <c r="AL39" s="671"/>
      <c r="AM39" s="696"/>
      <c r="AN39" s="698"/>
      <c r="AO39" s="698"/>
      <c r="AP39" s="698"/>
      <c r="AQ39" s="696"/>
      <c r="AR39" s="696"/>
      <c r="AS39" s="696"/>
      <c r="AT39" s="696"/>
      <c r="AU39" s="696"/>
      <c r="AV39" s="696"/>
    </row>
    <row r="40" spans="2:48" ht="15.75">
      <c r="B40" s="505" t="s">
        <v>634</v>
      </c>
      <c r="C40" s="511">
        <v>0</v>
      </c>
      <c r="D40" s="511">
        <v>0</v>
      </c>
      <c r="E40" s="511">
        <v>0</v>
      </c>
      <c r="F40" s="511">
        <v>0</v>
      </c>
      <c r="G40" s="511">
        <v>0</v>
      </c>
      <c r="H40" s="511">
        <v>0</v>
      </c>
      <c r="I40" s="524" t="e">
        <f>#REF!</f>
        <v>#REF!</v>
      </c>
      <c r="J40" s="524" t="e">
        <f>#REF!</f>
        <v>#REF!</v>
      </c>
      <c r="K40" s="524" t="e">
        <f>#REF!</f>
        <v>#REF!</v>
      </c>
      <c r="L40" s="524" t="e">
        <f>#REF!</f>
        <v>#REF!</v>
      </c>
      <c r="M40" s="524" t="e">
        <f>#REF!</f>
        <v>#REF!</v>
      </c>
      <c r="N40" s="524" t="e">
        <f>#REF!</f>
        <v>#REF!</v>
      </c>
      <c r="O40" s="524" t="e">
        <f>#REF!</f>
        <v>#REF!</v>
      </c>
      <c r="P40" s="524" t="e">
        <f>#REF!</f>
        <v>#REF!</v>
      </c>
      <c r="Q40" s="524" t="e">
        <f>#REF!</f>
        <v>#REF!</v>
      </c>
      <c r="R40" s="524" t="e">
        <f>#REF!</f>
        <v>#REF!</v>
      </c>
      <c r="S40" s="524" t="e">
        <f>#REF!</f>
        <v>#REF!</v>
      </c>
      <c r="T40" s="524" t="e">
        <f>#REF!</f>
        <v>#REF!</v>
      </c>
      <c r="W40" s="425">
        <f t="shared" si="41"/>
        <v>0</v>
      </c>
      <c r="X40" s="685" t="s">
        <v>634</v>
      </c>
      <c r="Y40" s="671">
        <v>0</v>
      </c>
      <c r="Z40" s="671">
        <v>0</v>
      </c>
      <c r="AA40" s="671">
        <v>0</v>
      </c>
      <c r="AB40" s="671">
        <v>0</v>
      </c>
      <c r="AC40" s="671">
        <v>0</v>
      </c>
      <c r="AD40" s="671">
        <v>0</v>
      </c>
      <c r="AE40" s="671">
        <v>2700000</v>
      </c>
      <c r="AF40" s="671">
        <v>0</v>
      </c>
      <c r="AG40" s="671">
        <v>0</v>
      </c>
      <c r="AH40" s="671">
        <v>0</v>
      </c>
      <c r="AI40" s="671">
        <v>0</v>
      </c>
      <c r="AJ40" s="671">
        <v>0</v>
      </c>
      <c r="AK40" s="671"/>
      <c r="AL40" s="671"/>
      <c r="AM40" s="696"/>
      <c r="AN40" s="696"/>
      <c r="AO40" s="696"/>
      <c r="AP40" s="696"/>
      <c r="AQ40" s="696"/>
      <c r="AR40" s="696"/>
      <c r="AS40" s="696"/>
      <c r="AT40" s="696"/>
      <c r="AU40" s="696"/>
      <c r="AV40" s="696"/>
    </row>
    <row r="41" spans="2:48" ht="15.75">
      <c r="B41" s="505" t="s">
        <v>635</v>
      </c>
      <c r="C41" s="511">
        <v>633528.05000000005</v>
      </c>
      <c r="D41" s="511">
        <v>0</v>
      </c>
      <c r="E41" s="511">
        <v>692151.86</v>
      </c>
      <c r="F41" s="511">
        <v>0</v>
      </c>
      <c r="G41" s="511">
        <v>692151.86</v>
      </c>
      <c r="H41" s="511">
        <v>189331.33</v>
      </c>
      <c r="I41" s="524" t="e">
        <f>#REF!</f>
        <v>#REF!</v>
      </c>
      <c r="J41" s="524" t="e">
        <f>#REF!</f>
        <v>#REF!</v>
      </c>
      <c r="K41" s="524" t="e">
        <f>#REF!</f>
        <v>#REF!</v>
      </c>
      <c r="L41" s="524" t="e">
        <f>#REF!</f>
        <v>#REF!</v>
      </c>
      <c r="M41" s="524" t="e">
        <f>#REF!</f>
        <v>#REF!</v>
      </c>
      <c r="N41" s="524" t="e">
        <f>#REF!</f>
        <v>#REF!</v>
      </c>
      <c r="O41" s="524" t="e">
        <f>#REF!</f>
        <v>#REF!</v>
      </c>
      <c r="P41" s="524" t="e">
        <f>#REF!</f>
        <v>#REF!</v>
      </c>
      <c r="Q41" s="524" t="e">
        <f>#REF!</f>
        <v>#REF!</v>
      </c>
      <c r="R41" s="524" t="e">
        <f>#REF!</f>
        <v>#REF!</v>
      </c>
      <c r="S41" s="524" t="e">
        <f>#REF!</f>
        <v>#REF!</v>
      </c>
      <c r="T41" s="524" t="e">
        <f>#REF!</f>
        <v>#REF!</v>
      </c>
      <c r="W41" s="425">
        <f t="shared" si="41"/>
        <v>633528.05000000005</v>
      </c>
      <c r="X41" s="685" t="s">
        <v>635</v>
      </c>
      <c r="Y41" s="671">
        <v>0</v>
      </c>
      <c r="Z41" s="671">
        <v>253425.57</v>
      </c>
      <c r="AA41" s="671">
        <v>0</v>
      </c>
      <c r="AB41" s="671">
        <v>0</v>
      </c>
      <c r="AC41" s="671">
        <v>0</v>
      </c>
      <c r="AD41" s="671">
        <v>0</v>
      </c>
      <c r="AE41" s="671">
        <v>614522.9</v>
      </c>
      <c r="AF41" s="688">
        <v>690118.78</v>
      </c>
      <c r="AG41" s="671">
        <v>0</v>
      </c>
      <c r="AH41" s="671">
        <v>690118.72</v>
      </c>
      <c r="AI41" s="671">
        <v>0</v>
      </c>
      <c r="AJ41" s="671">
        <v>212402.10000000003</v>
      </c>
      <c r="AK41" s="671"/>
      <c r="AL41" s="671"/>
      <c r="AM41" s="696"/>
      <c r="AN41" s="696"/>
      <c r="AO41" s="696"/>
      <c r="AP41" s="696"/>
      <c r="AQ41" s="696"/>
      <c r="AR41" s="696"/>
      <c r="AS41" s="696"/>
      <c r="AT41" s="696"/>
      <c r="AU41" s="696"/>
      <c r="AV41" s="696"/>
    </row>
    <row r="42" spans="2:48" ht="15.75">
      <c r="B42" s="505" t="s">
        <v>636</v>
      </c>
      <c r="C42" s="511">
        <v>0</v>
      </c>
      <c r="D42" s="511">
        <v>0</v>
      </c>
      <c r="E42" s="511">
        <v>0</v>
      </c>
      <c r="F42" s="511">
        <v>0</v>
      </c>
      <c r="G42" s="511">
        <v>0</v>
      </c>
      <c r="H42" s="811">
        <v>0</v>
      </c>
      <c r="I42" s="524" t="e">
        <f>#REF!</f>
        <v>#REF!</v>
      </c>
      <c r="J42" s="524" t="e">
        <f>#REF!</f>
        <v>#REF!</v>
      </c>
      <c r="K42" s="524" t="e">
        <f>#REF!</f>
        <v>#REF!</v>
      </c>
      <c r="L42" s="524" t="e">
        <f>#REF!</f>
        <v>#REF!</v>
      </c>
      <c r="M42" s="524" t="e">
        <f>#REF!</f>
        <v>#REF!</v>
      </c>
      <c r="N42" s="524" t="e">
        <f>#REF!</f>
        <v>#REF!</v>
      </c>
      <c r="O42" s="524" t="e">
        <f>#REF!</f>
        <v>#REF!</v>
      </c>
      <c r="P42" s="524" t="e">
        <f>#REF!</f>
        <v>#REF!</v>
      </c>
      <c r="Q42" s="524" t="e">
        <f>#REF!</f>
        <v>#REF!</v>
      </c>
      <c r="R42" s="524" t="e">
        <f>#REF!</f>
        <v>#REF!</v>
      </c>
      <c r="S42" s="524" t="e">
        <f>#REF!</f>
        <v>#REF!</v>
      </c>
      <c r="T42" s="524" t="e">
        <f>#REF!</f>
        <v>#REF!</v>
      </c>
      <c r="W42" s="425">
        <f t="shared" si="41"/>
        <v>0</v>
      </c>
      <c r="X42" s="685" t="s">
        <v>636</v>
      </c>
      <c r="Y42" s="671">
        <v>0</v>
      </c>
      <c r="Z42" s="671">
        <v>0</v>
      </c>
      <c r="AA42" s="671">
        <v>0</v>
      </c>
      <c r="AB42" s="671">
        <v>0</v>
      </c>
      <c r="AC42" s="671">
        <v>0</v>
      </c>
      <c r="AD42" s="671">
        <v>0</v>
      </c>
      <c r="AE42" s="671">
        <v>0</v>
      </c>
      <c r="AF42" s="671">
        <v>0</v>
      </c>
      <c r="AG42" s="671">
        <v>0</v>
      </c>
      <c r="AH42" s="671">
        <v>0</v>
      </c>
      <c r="AI42" s="671">
        <v>0</v>
      </c>
      <c r="AJ42" s="671">
        <v>613558.43000000005</v>
      </c>
      <c r="AK42" s="687"/>
      <c r="AL42" s="671"/>
      <c r="AM42" s="696"/>
      <c r="AN42" s="696"/>
      <c r="AO42" s="696"/>
      <c r="AP42" s="696"/>
      <c r="AQ42" s="696"/>
      <c r="AR42" s="696"/>
      <c r="AS42" s="696"/>
      <c r="AT42" s="696"/>
      <c r="AU42" s="696"/>
      <c r="AV42" s="696"/>
    </row>
    <row r="43" spans="2:48" ht="15.75">
      <c r="B43" s="716" t="s">
        <v>946</v>
      </c>
      <c r="C43" s="511">
        <v>0</v>
      </c>
      <c r="D43" s="511">
        <v>0</v>
      </c>
      <c r="E43" s="511">
        <v>0</v>
      </c>
      <c r="F43" s="511">
        <v>0</v>
      </c>
      <c r="G43" s="511">
        <v>0</v>
      </c>
      <c r="H43" s="511">
        <v>1001617.64</v>
      </c>
      <c r="I43" s="516"/>
      <c r="J43" s="516"/>
      <c r="K43" s="516"/>
      <c r="L43" s="516"/>
      <c r="M43" s="516"/>
      <c r="N43" s="516"/>
      <c r="O43" s="516"/>
      <c r="P43" s="516"/>
      <c r="Q43" s="516"/>
      <c r="R43" s="516"/>
      <c r="S43" s="516"/>
      <c r="T43" s="813"/>
      <c r="W43" s="425">
        <f t="shared" si="41"/>
        <v>0</v>
      </c>
      <c r="X43" s="699" t="s">
        <v>946</v>
      </c>
      <c r="Y43" s="675"/>
      <c r="Z43" s="675"/>
      <c r="AA43" s="675"/>
      <c r="AB43" s="675"/>
      <c r="AC43" s="675"/>
      <c r="AD43" s="675"/>
      <c r="AE43" s="675"/>
      <c r="AF43" s="675"/>
      <c r="AG43" s="675"/>
      <c r="AH43" s="675"/>
      <c r="AI43" s="675"/>
      <c r="AJ43" s="675">
        <v>0</v>
      </c>
      <c r="AK43" s="675"/>
      <c r="AL43" s="675"/>
      <c r="AM43" s="700"/>
      <c r="AN43" s="700"/>
      <c r="AO43" s="700"/>
      <c r="AP43" s="700"/>
      <c r="AQ43" s="700"/>
      <c r="AR43" s="700"/>
      <c r="AS43" s="700"/>
      <c r="AT43" s="700"/>
      <c r="AU43" s="700"/>
      <c r="AV43" s="700"/>
    </row>
    <row r="44" spans="2:48" ht="15.75">
      <c r="B44" s="505" t="s">
        <v>637</v>
      </c>
      <c r="C44" s="511">
        <v>0</v>
      </c>
      <c r="D44" s="511">
        <v>0</v>
      </c>
      <c r="E44" s="511">
        <v>150000</v>
      </c>
      <c r="F44" s="511">
        <v>0</v>
      </c>
      <c r="G44" s="511">
        <v>0</v>
      </c>
      <c r="H44" s="511">
        <v>0</v>
      </c>
      <c r="I44" s="524" t="e">
        <f>#REF!</f>
        <v>#REF!</v>
      </c>
      <c r="J44" s="524" t="e">
        <f>#REF!</f>
        <v>#REF!</v>
      </c>
      <c r="K44" s="524" t="e">
        <f>#REF!</f>
        <v>#REF!</v>
      </c>
      <c r="L44" s="524" t="e">
        <f>#REF!</f>
        <v>#REF!</v>
      </c>
      <c r="M44" s="524" t="e">
        <f>#REF!</f>
        <v>#REF!</v>
      </c>
      <c r="N44" s="524" t="e">
        <f>#REF!</f>
        <v>#REF!</v>
      </c>
      <c r="O44" s="524" t="e">
        <f>#REF!</f>
        <v>#REF!</v>
      </c>
      <c r="P44" s="524" t="e">
        <f>#REF!</f>
        <v>#REF!</v>
      </c>
      <c r="Q44" s="524" t="e">
        <f>#REF!</f>
        <v>#REF!</v>
      </c>
      <c r="R44" s="524" t="e">
        <f>#REF!</f>
        <v>#REF!</v>
      </c>
      <c r="S44" s="524" t="e">
        <f>#REF!</f>
        <v>#REF!</v>
      </c>
      <c r="T44" s="524" t="e">
        <f>#REF!</f>
        <v>#REF!</v>
      </c>
      <c r="W44" s="425">
        <f t="shared" si="41"/>
        <v>0</v>
      </c>
      <c r="X44" s="685" t="s">
        <v>637</v>
      </c>
      <c r="Y44" s="671"/>
      <c r="Z44" s="671">
        <v>0</v>
      </c>
      <c r="AA44" s="671">
        <v>0</v>
      </c>
      <c r="AB44" s="671">
        <v>0</v>
      </c>
      <c r="AC44" s="671">
        <v>0</v>
      </c>
      <c r="AD44" s="697">
        <v>0</v>
      </c>
      <c r="AE44" s="671">
        <v>0</v>
      </c>
      <c r="AF44" s="671">
        <v>0</v>
      </c>
      <c r="AG44" s="671">
        <v>0</v>
      </c>
      <c r="AH44" s="671">
        <v>0</v>
      </c>
      <c r="AI44" s="671">
        <v>0</v>
      </c>
      <c r="AJ44" s="671">
        <v>150000</v>
      </c>
      <c r="AK44" s="671"/>
      <c r="AL44" s="671"/>
      <c r="AM44" s="696"/>
      <c r="AN44" s="696"/>
      <c r="AO44" s="696"/>
      <c r="AP44" s="696"/>
      <c r="AQ44" s="696"/>
      <c r="AR44" s="696"/>
      <c r="AS44" s="696"/>
      <c r="AT44" s="696"/>
      <c r="AU44" s="696"/>
      <c r="AV44" s="696"/>
    </row>
    <row r="45" spans="2:48" ht="15.75">
      <c r="B45" s="505" t="s">
        <v>638</v>
      </c>
      <c r="C45" s="511">
        <v>0</v>
      </c>
      <c r="D45" s="511">
        <v>0</v>
      </c>
      <c r="E45" s="511">
        <v>0</v>
      </c>
      <c r="F45" s="511">
        <v>0</v>
      </c>
      <c r="G45" s="511">
        <v>857325</v>
      </c>
      <c r="H45" s="511">
        <v>0</v>
      </c>
      <c r="I45" s="524" t="e">
        <f>#REF!</f>
        <v>#REF!</v>
      </c>
      <c r="J45" s="524" t="e">
        <f>#REF!</f>
        <v>#REF!</v>
      </c>
      <c r="K45" s="524" t="e">
        <f>#REF!</f>
        <v>#REF!</v>
      </c>
      <c r="L45" s="524" t="e">
        <f>#REF!</f>
        <v>#REF!</v>
      </c>
      <c r="M45" s="524" t="e">
        <f>#REF!</f>
        <v>#REF!</v>
      </c>
      <c r="N45" s="524" t="e">
        <f>#REF!</f>
        <v>#REF!</v>
      </c>
      <c r="O45" s="524" t="e">
        <f>#REF!</f>
        <v>#REF!</v>
      </c>
      <c r="P45" s="524" t="e">
        <f>#REF!</f>
        <v>#REF!</v>
      </c>
      <c r="Q45" s="524" t="e">
        <f>#REF!</f>
        <v>#REF!</v>
      </c>
      <c r="R45" s="524" t="e">
        <f>#REF!</f>
        <v>#REF!</v>
      </c>
      <c r="S45" s="524" t="e">
        <f>#REF!</f>
        <v>#REF!</v>
      </c>
      <c r="T45" s="524" t="e">
        <f>#REF!</f>
        <v>#REF!</v>
      </c>
      <c r="W45" s="425">
        <f t="shared" si="41"/>
        <v>0</v>
      </c>
      <c r="X45" s="685" t="s">
        <v>638</v>
      </c>
      <c r="Y45" s="671">
        <v>0</v>
      </c>
      <c r="Z45" s="671">
        <v>0</v>
      </c>
      <c r="AA45" s="671">
        <v>0</v>
      </c>
      <c r="AB45" s="671">
        <v>0</v>
      </c>
      <c r="AC45" s="671">
        <v>283125.24</v>
      </c>
      <c r="AD45" s="671">
        <v>0</v>
      </c>
      <c r="AE45" s="671">
        <v>0</v>
      </c>
      <c r="AF45" s="671">
        <v>314020.7</v>
      </c>
      <c r="AG45" s="671">
        <v>0</v>
      </c>
      <c r="AH45" s="671">
        <v>0</v>
      </c>
      <c r="AI45" s="671">
        <v>260179.52000000002</v>
      </c>
      <c r="AJ45" s="671">
        <v>0</v>
      </c>
      <c r="AK45" s="671"/>
      <c r="AL45" s="671"/>
      <c r="AM45" s="696"/>
      <c r="AN45" s="696"/>
      <c r="AO45" s="696"/>
      <c r="AP45" s="696"/>
      <c r="AQ45" s="696"/>
      <c r="AR45" s="696"/>
      <c r="AS45" s="696"/>
      <c r="AT45" s="696"/>
      <c r="AU45" s="696"/>
      <c r="AV45" s="696"/>
    </row>
    <row r="46" spans="2:48" ht="15.75">
      <c r="B46" s="505" t="s">
        <v>989</v>
      </c>
      <c r="C46" s="511">
        <v>0</v>
      </c>
      <c r="D46" s="511">
        <v>0</v>
      </c>
      <c r="E46" s="511">
        <v>0</v>
      </c>
      <c r="F46" s="511">
        <v>0</v>
      </c>
      <c r="G46" s="511">
        <v>0</v>
      </c>
      <c r="H46" s="511">
        <v>0</v>
      </c>
      <c r="I46" s="516">
        <v>-2</v>
      </c>
      <c r="J46" s="516">
        <v>-1</v>
      </c>
      <c r="K46" s="516">
        <v>0</v>
      </c>
      <c r="L46" s="516">
        <v>0</v>
      </c>
      <c r="M46" s="516">
        <v>0</v>
      </c>
      <c r="N46" s="516">
        <v>0</v>
      </c>
      <c r="O46" s="516">
        <v>0</v>
      </c>
      <c r="P46" s="516">
        <v>0</v>
      </c>
      <c r="Q46" s="516">
        <v>0</v>
      </c>
      <c r="R46" s="516">
        <v>0</v>
      </c>
      <c r="S46" s="516">
        <v>0</v>
      </c>
      <c r="T46" s="516"/>
      <c r="W46" s="425">
        <f t="shared" si="41"/>
        <v>0</v>
      </c>
      <c r="X46" s="685" t="s">
        <v>989</v>
      </c>
      <c r="Y46" s="671"/>
      <c r="Z46" s="671">
        <v>0</v>
      </c>
      <c r="AA46" s="671">
        <v>0</v>
      </c>
      <c r="AB46" s="671">
        <v>0</v>
      </c>
      <c r="AC46" s="671">
        <v>0</v>
      </c>
      <c r="AD46" s="671">
        <v>0</v>
      </c>
      <c r="AE46" s="671">
        <v>0</v>
      </c>
      <c r="AF46" s="671">
        <v>0</v>
      </c>
      <c r="AG46" s="671">
        <v>0</v>
      </c>
      <c r="AH46" s="671">
        <v>0</v>
      </c>
      <c r="AI46" s="671">
        <v>0</v>
      </c>
      <c r="AJ46" s="671">
        <v>857325</v>
      </c>
      <c r="AK46" s="671"/>
      <c r="AL46" s="671"/>
      <c r="AM46" s="696"/>
      <c r="AN46" s="696"/>
      <c r="AO46" s="696"/>
      <c r="AP46" s="696"/>
      <c r="AQ46" s="696"/>
      <c r="AR46" s="696"/>
      <c r="AS46" s="696"/>
      <c r="AT46" s="696"/>
      <c r="AU46" s="696"/>
      <c r="AV46" s="696"/>
    </row>
    <row r="47" spans="2:48" ht="15.75">
      <c r="B47" s="505"/>
      <c r="C47" s="511">
        <v>0</v>
      </c>
      <c r="D47" s="511">
        <v>0</v>
      </c>
      <c r="E47" s="511">
        <v>0</v>
      </c>
      <c r="F47" s="511">
        <v>0</v>
      </c>
      <c r="G47" s="511">
        <v>0</v>
      </c>
      <c r="H47" s="511">
        <v>0</v>
      </c>
      <c r="I47" s="516"/>
      <c r="J47" s="516"/>
      <c r="K47" s="516"/>
      <c r="L47" s="516"/>
      <c r="M47" s="516"/>
      <c r="N47" s="516"/>
      <c r="O47" s="516"/>
      <c r="P47" s="516"/>
      <c r="Q47" s="516"/>
      <c r="R47" s="516"/>
      <c r="S47" s="516"/>
      <c r="T47" s="516"/>
      <c r="W47" s="425" t="e">
        <f t="shared" si="41"/>
        <v>#N/A</v>
      </c>
      <c r="X47" s="699"/>
      <c r="Y47" s="675"/>
      <c r="Z47" s="675"/>
      <c r="AA47" s="675"/>
      <c r="AB47" s="675"/>
      <c r="AC47" s="675"/>
      <c r="AD47" s="675"/>
      <c r="AE47" s="675"/>
      <c r="AF47" s="675"/>
      <c r="AG47" s="675"/>
      <c r="AH47" s="675"/>
      <c r="AI47" s="675"/>
      <c r="AJ47" s="675"/>
      <c r="AK47" s="675"/>
      <c r="AL47" s="675"/>
      <c r="AM47" s="700"/>
      <c r="AN47" s="700"/>
      <c r="AO47" s="700"/>
      <c r="AP47" s="700"/>
      <c r="AQ47" s="700"/>
      <c r="AR47" s="700"/>
      <c r="AS47" s="700"/>
      <c r="AT47" s="700"/>
      <c r="AU47" s="700"/>
      <c r="AV47" s="700"/>
    </row>
    <row r="48" spans="2:48" ht="15.75">
      <c r="B48" s="505" t="s">
        <v>639</v>
      </c>
      <c r="C48" s="511">
        <v>706083.28</v>
      </c>
      <c r="D48" s="511">
        <v>706083.28</v>
      </c>
      <c r="E48" s="511">
        <v>706083.28</v>
      </c>
      <c r="F48" s="511">
        <v>706083.28</v>
      </c>
      <c r="G48" s="511">
        <v>706083.28</v>
      </c>
      <c r="H48" s="511">
        <v>706083.28</v>
      </c>
      <c r="I48" s="524" t="e">
        <f>#REF!</f>
        <v>#REF!</v>
      </c>
      <c r="J48" s="524" t="e">
        <f>#REF!</f>
        <v>#REF!</v>
      </c>
      <c r="K48" s="524" t="e">
        <f>#REF!</f>
        <v>#REF!</v>
      </c>
      <c r="L48" s="524" t="e">
        <f>#REF!</f>
        <v>#REF!</v>
      </c>
      <c r="M48" s="524" t="e">
        <f>#REF!</f>
        <v>#REF!</v>
      </c>
      <c r="N48" s="524" t="e">
        <f>#REF!</f>
        <v>#REF!</v>
      </c>
      <c r="O48" s="524" t="e">
        <f>#REF!</f>
        <v>#REF!</v>
      </c>
      <c r="P48" s="524" t="e">
        <f>#REF!</f>
        <v>#REF!</v>
      </c>
      <c r="Q48" s="524" t="e">
        <f>#REF!</f>
        <v>#REF!</v>
      </c>
      <c r="R48" s="524" t="e">
        <f>#REF!</f>
        <v>#REF!</v>
      </c>
      <c r="S48" s="524" t="e">
        <f>#REF!</f>
        <v>#REF!</v>
      </c>
      <c r="T48" s="524" t="e">
        <f>#REF!</f>
        <v>#REF!</v>
      </c>
      <c r="W48" s="425">
        <f t="shared" si="41"/>
        <v>706083.28</v>
      </c>
      <c r="X48" s="685" t="s">
        <v>639</v>
      </c>
      <c r="Y48" s="671">
        <v>0</v>
      </c>
      <c r="Z48" s="671">
        <v>0</v>
      </c>
      <c r="AA48" s="671">
        <v>0</v>
      </c>
      <c r="AB48" s="671">
        <v>0</v>
      </c>
      <c r="AC48" s="671">
        <v>0</v>
      </c>
      <c r="AD48" s="697">
        <v>635523.75</v>
      </c>
      <c r="AE48" s="683">
        <v>635523.74857142859</v>
      </c>
      <c r="AF48" s="671">
        <v>635523.74857142859</v>
      </c>
      <c r="AG48" s="671">
        <v>635523.74857142859</v>
      </c>
      <c r="AH48" s="671">
        <v>635523.74857142859</v>
      </c>
      <c r="AI48" s="671">
        <v>635523.74857142859</v>
      </c>
      <c r="AJ48" s="671">
        <v>635523.74857142859</v>
      </c>
      <c r="AK48" s="671"/>
      <c r="AL48" s="671"/>
      <c r="AM48" s="696"/>
      <c r="AN48" s="696"/>
      <c r="AO48" s="696"/>
      <c r="AP48" s="701"/>
      <c r="AQ48" s="696"/>
      <c r="AR48" s="696"/>
      <c r="AS48" s="696"/>
      <c r="AT48" s="696"/>
      <c r="AU48" s="696"/>
      <c r="AV48" s="696"/>
    </row>
    <row r="49" spans="2:48" ht="15.75">
      <c r="B49" s="505" t="s">
        <v>893</v>
      </c>
      <c r="C49" s="511">
        <v>0</v>
      </c>
      <c r="D49" s="511">
        <v>0</v>
      </c>
      <c r="E49" s="511">
        <v>0</v>
      </c>
      <c r="F49" s="511">
        <v>0</v>
      </c>
      <c r="G49" s="511">
        <v>0</v>
      </c>
      <c r="H49" s="511">
        <v>0</v>
      </c>
      <c r="I49" s="516">
        <v>-2</v>
      </c>
      <c r="J49" s="516">
        <v>-1</v>
      </c>
      <c r="K49" s="516">
        <v>0</v>
      </c>
      <c r="L49" s="516">
        <v>0</v>
      </c>
      <c r="M49" s="516">
        <v>0</v>
      </c>
      <c r="N49" s="516">
        <v>0</v>
      </c>
      <c r="O49" s="516">
        <v>0</v>
      </c>
      <c r="P49" s="516">
        <v>0</v>
      </c>
      <c r="Q49" s="516">
        <v>0</v>
      </c>
      <c r="R49" s="516">
        <v>0</v>
      </c>
      <c r="S49" s="516">
        <v>0</v>
      </c>
      <c r="T49" s="516">
        <v>0</v>
      </c>
      <c r="W49" s="425">
        <f t="shared" si="41"/>
        <v>0</v>
      </c>
      <c r="X49" s="685" t="s">
        <v>893</v>
      </c>
      <c r="Y49" s="671">
        <v>0</v>
      </c>
      <c r="Z49" s="671"/>
      <c r="AA49" s="671">
        <v>0</v>
      </c>
      <c r="AB49" s="671">
        <v>0</v>
      </c>
      <c r="AC49" s="671">
        <v>0</v>
      </c>
      <c r="AD49" s="671">
        <v>0</v>
      </c>
      <c r="AE49" s="683">
        <v>0</v>
      </c>
      <c r="AF49" s="671">
        <v>0</v>
      </c>
      <c r="AG49" s="671">
        <v>0</v>
      </c>
      <c r="AH49" s="671">
        <v>0</v>
      </c>
      <c r="AI49" s="671">
        <v>0</v>
      </c>
      <c r="AJ49" s="671">
        <v>0</v>
      </c>
      <c r="AK49" s="671"/>
      <c r="AL49" s="671"/>
      <c r="AM49" s="696"/>
      <c r="AN49" s="696"/>
      <c r="AO49" s="696"/>
      <c r="AP49" s="696"/>
      <c r="AQ49" s="696"/>
      <c r="AR49" s="696"/>
      <c r="AS49" s="696"/>
      <c r="AT49" s="696"/>
      <c r="AU49" s="696"/>
      <c r="AV49" s="696"/>
    </row>
    <row r="50" spans="2:48" ht="15.75">
      <c r="B50" s="505" t="s">
        <v>640</v>
      </c>
      <c r="C50" s="511">
        <v>0</v>
      </c>
      <c r="D50" s="511">
        <v>0</v>
      </c>
      <c r="E50" s="511">
        <v>0</v>
      </c>
      <c r="F50" s="511">
        <v>0</v>
      </c>
      <c r="G50" s="511">
        <v>0</v>
      </c>
      <c r="H50" s="511">
        <v>0</v>
      </c>
      <c r="I50" s="524" t="e">
        <f>#REF!</f>
        <v>#REF!</v>
      </c>
      <c r="J50" s="524" t="e">
        <f>#REF!</f>
        <v>#REF!</v>
      </c>
      <c r="K50" s="524" t="e">
        <f>#REF!</f>
        <v>#REF!</v>
      </c>
      <c r="L50" s="524" t="e">
        <f>#REF!</f>
        <v>#REF!</v>
      </c>
      <c r="M50" s="524" t="e">
        <f>#REF!</f>
        <v>#REF!</v>
      </c>
      <c r="N50" s="524" t="e">
        <f>#REF!</f>
        <v>#REF!</v>
      </c>
      <c r="O50" s="524" t="e">
        <f>#REF!</f>
        <v>#REF!</v>
      </c>
      <c r="P50" s="524" t="e">
        <f>#REF!</f>
        <v>#REF!</v>
      </c>
      <c r="Q50" s="524" t="e">
        <f>#REF!</f>
        <v>#REF!</v>
      </c>
      <c r="R50" s="524" t="e">
        <f>#REF!</f>
        <v>#REF!</v>
      </c>
      <c r="S50" s="524" t="e">
        <f>#REF!</f>
        <v>#REF!</v>
      </c>
      <c r="T50" s="524" t="e">
        <f>#REF!</f>
        <v>#REF!</v>
      </c>
      <c r="W50" s="425">
        <f t="shared" si="41"/>
        <v>0</v>
      </c>
      <c r="X50" s="685" t="s">
        <v>640</v>
      </c>
      <c r="Y50" s="671">
        <v>0</v>
      </c>
      <c r="Z50" s="671">
        <v>0</v>
      </c>
      <c r="AA50" s="671">
        <v>0</v>
      </c>
      <c r="AB50" s="671">
        <v>0</v>
      </c>
      <c r="AC50" s="671">
        <v>0</v>
      </c>
      <c r="AD50" s="671">
        <v>0</v>
      </c>
      <c r="AE50" s="683">
        <v>0</v>
      </c>
      <c r="AF50" s="671">
        <v>0</v>
      </c>
      <c r="AG50" s="671">
        <v>0</v>
      </c>
      <c r="AH50" s="671">
        <v>0</v>
      </c>
      <c r="AI50" s="671">
        <v>0</v>
      </c>
      <c r="AJ50" s="671">
        <v>0</v>
      </c>
      <c r="AK50" s="671"/>
      <c r="AL50" s="671"/>
      <c r="AM50" s="696"/>
      <c r="AN50" s="696"/>
      <c r="AO50" s="696"/>
      <c r="AP50" s="696"/>
      <c r="AQ50" s="696"/>
      <c r="AR50" s="696"/>
      <c r="AS50" s="696"/>
      <c r="AT50" s="696"/>
      <c r="AU50" s="696"/>
      <c r="AV50" s="696"/>
    </row>
    <row r="51" spans="2:48" ht="15.75">
      <c r="B51" s="505" t="s">
        <v>641</v>
      </c>
      <c r="C51" s="511">
        <v>0</v>
      </c>
      <c r="D51" s="511">
        <v>0</v>
      </c>
      <c r="E51" s="511">
        <v>0</v>
      </c>
      <c r="F51" s="511">
        <v>0</v>
      </c>
      <c r="G51" s="511">
        <v>0</v>
      </c>
      <c r="H51" s="511">
        <v>0</v>
      </c>
      <c r="I51" s="524" t="e">
        <f>#REF!</f>
        <v>#REF!</v>
      </c>
      <c r="J51" s="524" t="e">
        <f>#REF!</f>
        <v>#REF!</v>
      </c>
      <c r="K51" s="524" t="e">
        <f>#REF!</f>
        <v>#REF!</v>
      </c>
      <c r="L51" s="524" t="e">
        <f>#REF!</f>
        <v>#REF!</v>
      </c>
      <c r="M51" s="524" t="e">
        <f>#REF!</f>
        <v>#REF!</v>
      </c>
      <c r="N51" s="524" t="e">
        <f>#REF!</f>
        <v>#REF!</v>
      </c>
      <c r="O51" s="524" t="e">
        <f>#REF!</f>
        <v>#REF!</v>
      </c>
      <c r="P51" s="524" t="e">
        <f>#REF!</f>
        <v>#REF!</v>
      </c>
      <c r="Q51" s="524" t="e">
        <f>#REF!</f>
        <v>#REF!</v>
      </c>
      <c r="R51" s="524" t="e">
        <f>#REF!</f>
        <v>#REF!</v>
      </c>
      <c r="S51" s="524" t="e">
        <f>#REF!</f>
        <v>#REF!</v>
      </c>
      <c r="T51" s="524" t="e">
        <f>#REF!</f>
        <v>#REF!</v>
      </c>
      <c r="W51" s="425">
        <f t="shared" si="41"/>
        <v>0</v>
      </c>
      <c r="X51" s="685" t="s">
        <v>641</v>
      </c>
      <c r="Y51" s="671">
        <v>0</v>
      </c>
      <c r="Z51" s="671">
        <v>0</v>
      </c>
      <c r="AA51" s="671">
        <v>0</v>
      </c>
      <c r="AB51" s="671">
        <v>0</v>
      </c>
      <c r="AC51" s="671">
        <v>1046000</v>
      </c>
      <c r="AD51" s="671">
        <v>0</v>
      </c>
      <c r="AE51" s="683">
        <v>0</v>
      </c>
      <c r="AF51" s="671">
        <v>0</v>
      </c>
      <c r="AG51" s="671">
        <v>1045000</v>
      </c>
      <c r="AH51" s="671">
        <v>0</v>
      </c>
      <c r="AI51" s="671">
        <v>0</v>
      </c>
      <c r="AJ51" s="671">
        <v>0</v>
      </c>
      <c r="AK51" s="671"/>
      <c r="AL51" s="671"/>
      <c r="AM51" s="696"/>
      <c r="AN51" s="696"/>
      <c r="AO51" s="696"/>
      <c r="AP51" s="696"/>
      <c r="AQ51" s="696"/>
      <c r="AR51" s="696"/>
      <c r="AS51" s="696"/>
      <c r="AT51" s="696"/>
      <c r="AU51" s="696"/>
      <c r="AV51" s="696"/>
    </row>
    <row r="52" spans="2:48" ht="15.75">
      <c r="B52" s="505" t="s">
        <v>642</v>
      </c>
      <c r="C52" s="511">
        <v>0</v>
      </c>
      <c r="D52" s="511">
        <v>0</v>
      </c>
      <c r="E52" s="511">
        <v>0</v>
      </c>
      <c r="F52" s="511">
        <v>0</v>
      </c>
      <c r="G52" s="511">
        <v>0</v>
      </c>
      <c r="H52" s="511">
        <v>0</v>
      </c>
      <c r="I52" s="524" t="e">
        <f>#REF!</f>
        <v>#REF!</v>
      </c>
      <c r="J52" s="524" t="e">
        <f>#REF!</f>
        <v>#REF!</v>
      </c>
      <c r="K52" s="524" t="e">
        <f>#REF!</f>
        <v>#REF!</v>
      </c>
      <c r="L52" s="524" t="e">
        <f>#REF!</f>
        <v>#REF!</v>
      </c>
      <c r="M52" s="524" t="e">
        <f>#REF!</f>
        <v>#REF!</v>
      </c>
      <c r="N52" s="524" t="e">
        <f>#REF!</f>
        <v>#REF!</v>
      </c>
      <c r="O52" s="524" t="e">
        <f>#REF!</f>
        <v>#REF!</v>
      </c>
      <c r="P52" s="524" t="e">
        <f>#REF!</f>
        <v>#REF!</v>
      </c>
      <c r="Q52" s="524" t="e">
        <f>#REF!</f>
        <v>#REF!</v>
      </c>
      <c r="R52" s="524" t="e">
        <f>#REF!</f>
        <v>#REF!</v>
      </c>
      <c r="S52" s="524" t="e">
        <f>#REF!</f>
        <v>#REF!</v>
      </c>
      <c r="T52" s="524" t="e">
        <f>#REF!</f>
        <v>#REF!</v>
      </c>
      <c r="W52" s="425">
        <f t="shared" si="41"/>
        <v>0</v>
      </c>
      <c r="X52" s="685" t="s">
        <v>642</v>
      </c>
      <c r="Y52" s="671">
        <v>0</v>
      </c>
      <c r="Z52" s="671">
        <v>0</v>
      </c>
      <c r="AA52" s="671">
        <v>0</v>
      </c>
      <c r="AB52" s="671">
        <v>0</v>
      </c>
      <c r="AC52" s="671">
        <v>3405000</v>
      </c>
      <c r="AD52" s="671">
        <v>0</v>
      </c>
      <c r="AE52" s="683">
        <v>0</v>
      </c>
      <c r="AF52" s="671">
        <v>0</v>
      </c>
      <c r="AG52" s="671">
        <v>3405000</v>
      </c>
      <c r="AH52" s="671">
        <v>0</v>
      </c>
      <c r="AI52" s="688">
        <v>0</v>
      </c>
      <c r="AJ52" s="671">
        <v>0</v>
      </c>
      <c r="AK52" s="671"/>
      <c r="AL52" s="671"/>
      <c r="AM52" s="696"/>
      <c r="AN52" s="696"/>
      <c r="AO52" s="696"/>
      <c r="AP52" s="702"/>
      <c r="AQ52" s="696"/>
      <c r="AR52" s="696"/>
      <c r="AS52" s="703"/>
      <c r="AT52" s="703"/>
      <c r="AU52" s="696"/>
      <c r="AV52" s="696"/>
    </row>
    <row r="53" spans="2:48" ht="15.75">
      <c r="B53" s="505" t="s">
        <v>643</v>
      </c>
      <c r="C53" s="511">
        <v>0</v>
      </c>
      <c r="D53" s="511">
        <v>0</v>
      </c>
      <c r="E53" s="511">
        <v>0</v>
      </c>
      <c r="F53" s="511">
        <v>0</v>
      </c>
      <c r="G53" s="511">
        <v>0</v>
      </c>
      <c r="H53" s="511">
        <v>0</v>
      </c>
      <c r="I53" s="516">
        <v>0</v>
      </c>
      <c r="J53" s="516">
        <v>0</v>
      </c>
      <c r="K53" s="516">
        <v>0</v>
      </c>
      <c r="L53" s="813">
        <v>0</v>
      </c>
      <c r="M53" s="516">
        <v>0</v>
      </c>
      <c r="N53" s="516">
        <v>0</v>
      </c>
      <c r="O53" s="516">
        <v>0</v>
      </c>
      <c r="P53" s="516">
        <v>0</v>
      </c>
      <c r="Q53" s="516">
        <v>0</v>
      </c>
      <c r="R53" s="516">
        <v>0</v>
      </c>
      <c r="S53" s="516">
        <v>0</v>
      </c>
      <c r="T53" s="516">
        <v>0</v>
      </c>
      <c r="W53" s="425">
        <f t="shared" si="41"/>
        <v>0</v>
      </c>
      <c r="X53" s="685" t="s">
        <v>643</v>
      </c>
      <c r="Y53" s="671">
        <v>0</v>
      </c>
      <c r="Z53" s="671">
        <v>0</v>
      </c>
      <c r="AA53" s="671">
        <v>0</v>
      </c>
      <c r="AB53" s="671">
        <v>0</v>
      </c>
      <c r="AC53" s="671">
        <v>0</v>
      </c>
      <c r="AD53" s="671">
        <v>0</v>
      </c>
      <c r="AE53" s="671">
        <v>0</v>
      </c>
      <c r="AF53" s="671">
        <v>0</v>
      </c>
      <c r="AG53" s="671">
        <v>0</v>
      </c>
      <c r="AH53" s="671">
        <v>0</v>
      </c>
      <c r="AI53" s="671">
        <v>0</v>
      </c>
      <c r="AJ53" s="671">
        <v>0</v>
      </c>
      <c r="AK53" s="671"/>
      <c r="AL53" s="671"/>
      <c r="AM53" s="696"/>
      <c r="AN53" s="696"/>
      <c r="AO53" s="696"/>
      <c r="AP53" s="696"/>
      <c r="AQ53" s="696"/>
      <c r="AR53" s="696"/>
      <c r="AS53" s="696"/>
      <c r="AT53" s="696"/>
      <c r="AU53" s="696"/>
      <c r="AV53" s="696"/>
    </row>
    <row r="54" spans="2:48" ht="15.75">
      <c r="B54" s="685" t="s">
        <v>929</v>
      </c>
      <c r="C54" s="511">
        <v>0</v>
      </c>
      <c r="D54" s="511">
        <v>0</v>
      </c>
      <c r="E54" s="511">
        <v>0</v>
      </c>
      <c r="F54" s="511">
        <v>0</v>
      </c>
      <c r="G54" s="511">
        <v>0</v>
      </c>
      <c r="H54" s="511">
        <v>0</v>
      </c>
      <c r="I54" s="516"/>
      <c r="J54" s="516"/>
      <c r="K54" s="516"/>
      <c r="L54" s="516"/>
      <c r="M54" s="516"/>
      <c r="N54" s="516"/>
      <c r="O54" s="516"/>
      <c r="P54" s="516"/>
      <c r="Q54" s="516"/>
      <c r="R54" s="516"/>
      <c r="S54" s="516"/>
      <c r="T54" s="516"/>
      <c r="W54" s="425">
        <f t="shared" si="41"/>
        <v>0</v>
      </c>
      <c r="X54" s="685" t="s">
        <v>929</v>
      </c>
      <c r="Y54" s="671"/>
      <c r="Z54" s="671"/>
      <c r="AA54" s="671"/>
      <c r="AB54" s="671"/>
      <c r="AC54" s="671"/>
      <c r="AD54" s="671"/>
      <c r="AE54" s="671"/>
      <c r="AF54" s="671"/>
      <c r="AG54" s="671"/>
      <c r="AH54" s="671"/>
      <c r="AI54" s="671"/>
      <c r="AJ54" s="671"/>
      <c r="AK54" s="671"/>
      <c r="AL54" s="671"/>
      <c r="AM54" s="696"/>
      <c r="AN54" s="696"/>
      <c r="AO54" s="696"/>
      <c r="AP54" s="696"/>
      <c r="AQ54" s="696"/>
      <c r="AR54" s="696"/>
      <c r="AS54" s="696"/>
      <c r="AT54" s="696"/>
      <c r="AU54" s="696"/>
      <c r="AV54" s="696"/>
    </row>
    <row r="55" spans="2:48" ht="15.75">
      <c r="B55" s="504" t="s">
        <v>644</v>
      </c>
      <c r="C55" s="512">
        <f t="shared" ref="C55:H55" si="44">SUM(C38:C54)</f>
        <v>1339611.33</v>
      </c>
      <c r="D55" s="512">
        <f t="shared" si="44"/>
        <v>706083.28</v>
      </c>
      <c r="E55" s="512">
        <f t="shared" si="44"/>
        <v>4598923.8999999994</v>
      </c>
      <c r="F55" s="512">
        <f t="shared" si="44"/>
        <v>6071916.6100000003</v>
      </c>
      <c r="G55" s="512">
        <f t="shared" si="44"/>
        <v>9767726.8100000005</v>
      </c>
      <c r="H55" s="512">
        <f t="shared" si="44"/>
        <v>1897032.25</v>
      </c>
      <c r="I55" s="512" t="e">
        <f t="shared" ref="I55" si="45">SUM(I38:I54)</f>
        <v>#REF!</v>
      </c>
      <c r="J55" s="512" t="e">
        <f t="shared" ref="J55" si="46">SUM(J38:J54)</f>
        <v>#REF!</v>
      </c>
      <c r="K55" s="512" t="e">
        <f t="shared" ref="K55" si="47">SUM(K38:K54)</f>
        <v>#REF!</v>
      </c>
      <c r="L55" s="512" t="e">
        <f t="shared" ref="L55" si="48">SUM(L38:L54)</f>
        <v>#REF!</v>
      </c>
      <c r="M55" s="512" t="e">
        <f t="shared" ref="M55" si="49">SUM(M38:M54)</f>
        <v>#REF!</v>
      </c>
      <c r="N55" s="512" t="e">
        <f t="shared" ref="N55" si="50">SUM(N38:N54)</f>
        <v>#REF!</v>
      </c>
      <c r="O55" s="512" t="e">
        <f t="shared" ref="O55" si="51">SUM(O38:O54)</f>
        <v>#REF!</v>
      </c>
      <c r="P55" s="512" t="e">
        <f t="shared" ref="P55" si="52">SUM(P38:P54)</f>
        <v>#REF!</v>
      </c>
      <c r="Q55" s="512" t="e">
        <f t="shared" ref="Q55" si="53">SUM(Q38:Q54)</f>
        <v>#REF!</v>
      </c>
      <c r="R55" s="512" t="e">
        <f t="shared" ref="R55" si="54">SUM(R38:R54)</f>
        <v>#REF!</v>
      </c>
      <c r="S55" s="512" t="e">
        <f t="shared" ref="S55" si="55">SUM(S38:S54)</f>
        <v>#REF!</v>
      </c>
      <c r="T55" s="512" t="e">
        <f t="shared" ref="T55" si="56">SUM(T38:T54)</f>
        <v>#REF!</v>
      </c>
      <c r="W55" s="425">
        <f t="shared" si="41"/>
        <v>1339611.33</v>
      </c>
      <c r="X55" s="677" t="s">
        <v>644</v>
      </c>
      <c r="Y55" s="678">
        <v>0</v>
      </c>
      <c r="Z55" s="678">
        <v>253425.57</v>
      </c>
      <c r="AA55" s="678">
        <v>0</v>
      </c>
      <c r="AB55" s="678">
        <v>0</v>
      </c>
      <c r="AC55" s="678">
        <v>4734125.24</v>
      </c>
      <c r="AD55" s="678">
        <v>635523.75</v>
      </c>
      <c r="AE55" s="678">
        <v>3950046.6485714284</v>
      </c>
      <c r="AF55" s="678">
        <v>9073414.4185714293</v>
      </c>
      <c r="AG55" s="678">
        <v>7982992.5385714285</v>
      </c>
      <c r="AH55" s="678">
        <v>1325642.4685714287</v>
      </c>
      <c r="AI55" s="678">
        <v>3793172.0485714283</v>
      </c>
      <c r="AJ55" s="678">
        <v>2468809.2785714287</v>
      </c>
      <c r="AK55" s="678"/>
      <c r="AL55" s="678"/>
      <c r="AM55" s="678"/>
      <c r="AN55" s="678"/>
      <c r="AO55" s="678"/>
      <c r="AP55" s="678"/>
      <c r="AQ55" s="678"/>
      <c r="AR55" s="678"/>
      <c r="AS55" s="678"/>
      <c r="AT55" s="678"/>
      <c r="AU55" s="678"/>
      <c r="AV55" s="678"/>
    </row>
    <row r="56" spans="2:48" ht="15.75">
      <c r="B56" s="507" t="s">
        <v>645</v>
      </c>
      <c r="C56" s="514">
        <f t="shared" ref="C56:H56" si="57">C36+C55</f>
        <v>12548119.473338773</v>
      </c>
      <c r="D56" s="514">
        <f t="shared" si="57"/>
        <v>10495127.210868564</v>
      </c>
      <c r="E56" s="514">
        <f t="shared" si="57"/>
        <v>12257923.062403969</v>
      </c>
      <c r="F56" s="514">
        <f t="shared" si="57"/>
        <v>15919373.737705629</v>
      </c>
      <c r="G56" s="514">
        <f t="shared" si="57"/>
        <v>23130144.434145913</v>
      </c>
      <c r="H56" s="514">
        <f t="shared" si="57"/>
        <v>18657827.351179142</v>
      </c>
      <c r="I56" s="514" t="e">
        <f t="shared" ref="I56:T56" si="58">I36+I55</f>
        <v>#REF!</v>
      </c>
      <c r="J56" s="514" t="e">
        <f t="shared" si="58"/>
        <v>#REF!</v>
      </c>
      <c r="K56" s="514" t="e">
        <f t="shared" si="58"/>
        <v>#REF!</v>
      </c>
      <c r="L56" s="514" t="e">
        <f t="shared" si="58"/>
        <v>#REF!</v>
      </c>
      <c r="M56" s="514" t="e">
        <f t="shared" si="58"/>
        <v>#REF!</v>
      </c>
      <c r="N56" s="514" t="e">
        <f t="shared" si="58"/>
        <v>#REF!</v>
      </c>
      <c r="O56" s="514" t="e">
        <f t="shared" si="58"/>
        <v>#REF!</v>
      </c>
      <c r="P56" s="514" t="e">
        <f t="shared" si="58"/>
        <v>#REF!</v>
      </c>
      <c r="Q56" s="514" t="e">
        <f t="shared" si="58"/>
        <v>#REF!</v>
      </c>
      <c r="R56" s="514" t="e">
        <f t="shared" si="58"/>
        <v>#REF!</v>
      </c>
      <c r="S56" s="514" t="e">
        <f t="shared" si="58"/>
        <v>#REF!</v>
      </c>
      <c r="T56" s="514" t="e">
        <f t="shared" si="58"/>
        <v>#REF!</v>
      </c>
      <c r="W56" s="425">
        <f t="shared" si="41"/>
        <v>12548119.473338773</v>
      </c>
      <c r="X56" s="693" t="s">
        <v>645</v>
      </c>
      <c r="Y56" s="694">
        <v>17374888.450000003</v>
      </c>
      <c r="Z56" s="694">
        <v>14673966.859999999</v>
      </c>
      <c r="AA56" s="694">
        <v>10308975.259999998</v>
      </c>
      <c r="AB56" s="694">
        <v>4603161.5099999988</v>
      </c>
      <c r="AC56" s="694">
        <v>7433847.7799999993</v>
      </c>
      <c r="AD56" s="694">
        <v>6179091</v>
      </c>
      <c r="AE56" s="704">
        <v>7894268.8867878839</v>
      </c>
      <c r="AF56" s="694">
        <v>13875039.944914818</v>
      </c>
      <c r="AG56" s="694">
        <v>17541290.652209073</v>
      </c>
      <c r="AH56" s="694">
        <v>16007557.85238399</v>
      </c>
      <c r="AI56" s="694">
        <v>14072273.313119592</v>
      </c>
      <c r="AJ56" s="694">
        <v>7597647.8346044086</v>
      </c>
      <c r="AK56" s="694"/>
      <c r="AL56" s="694"/>
      <c r="AM56" s="694"/>
      <c r="AN56" s="694"/>
      <c r="AO56" s="694"/>
      <c r="AP56" s="694"/>
      <c r="AQ56" s="694"/>
      <c r="AR56" s="694"/>
      <c r="AS56" s="694"/>
      <c r="AT56" s="694"/>
      <c r="AU56" s="694"/>
      <c r="AV56" s="694"/>
    </row>
    <row r="57" spans="2:48" ht="13.5" thickBot="1">
      <c r="C57" s="525">
        <f>C56-(C5+C9+C35+C55)</f>
        <v>0</v>
      </c>
      <c r="D57" s="525">
        <f t="shared" ref="D57:H57" si="59">D56-(D5+D9+D35+D55)</f>
        <v>0</v>
      </c>
      <c r="E57" s="525">
        <f t="shared" si="59"/>
        <v>0</v>
      </c>
      <c r="F57" s="525">
        <f t="shared" si="59"/>
        <v>0</v>
      </c>
      <c r="G57" s="525">
        <f t="shared" si="59"/>
        <v>0</v>
      </c>
      <c r="H57" s="525">
        <f t="shared" si="59"/>
        <v>0</v>
      </c>
      <c r="K57" s="526" t="e">
        <f>K55-#REF!</f>
        <v>#REF!</v>
      </c>
      <c r="L57" s="526" t="e">
        <f>L55-#REF!-L53</f>
        <v>#REF!</v>
      </c>
      <c r="M57" s="526" t="e">
        <f>M55-#REF!</f>
        <v>#REF!</v>
      </c>
      <c r="N57" s="526" t="e">
        <f>N55-#REF!</f>
        <v>#REF!</v>
      </c>
      <c r="O57" s="526" t="e">
        <f>O55-#REF!</f>
        <v>#REF!</v>
      </c>
      <c r="P57" s="526" t="e">
        <f>P55-#REF!</f>
        <v>#REF!</v>
      </c>
      <c r="Q57" s="526" t="e">
        <f>Q55-#REF!</f>
        <v>#REF!</v>
      </c>
      <c r="R57" s="526" t="e">
        <f>R55-#REF!</f>
        <v>#REF!</v>
      </c>
      <c r="S57" s="526" t="e">
        <f>S55-#REF!</f>
        <v>#REF!</v>
      </c>
      <c r="T57" s="526" t="e">
        <f>T55-#REF!-T43-T46</f>
        <v>#REF!</v>
      </c>
      <c r="W57" s="425" t="e">
        <f t="shared" si="41"/>
        <v>#N/A</v>
      </c>
      <c r="Y57" s="705"/>
      <c r="Z57" s="705"/>
      <c r="AA57" s="705"/>
      <c r="AB57" s="705"/>
      <c r="AC57" s="705"/>
      <c r="AD57" s="705"/>
      <c r="AE57" s="705"/>
      <c r="AF57" s="705"/>
      <c r="AG57" s="705"/>
      <c r="AH57" s="705"/>
      <c r="AI57" s="705"/>
      <c r="AJ57" s="705"/>
      <c r="AK57" s="705"/>
      <c r="AL57" s="705"/>
      <c r="AM57" s="705"/>
      <c r="AN57" s="705"/>
      <c r="AO57" s="705"/>
      <c r="AP57" s="705"/>
      <c r="AQ57" s="705"/>
      <c r="AR57" s="705"/>
      <c r="AS57" s="705"/>
      <c r="AT57" s="705"/>
      <c r="AU57" s="705"/>
      <c r="AV57" s="705"/>
    </row>
    <row r="58" spans="2:48" ht="13.5" thickBot="1">
      <c r="B58" s="519"/>
      <c r="C58" s="519"/>
      <c r="D58" s="519"/>
      <c r="E58" s="519"/>
      <c r="H58" s="527" t="e">
        <f>SUM(I55:J55,T43,T46)</f>
        <v>#REF!</v>
      </c>
      <c r="S58" s="528" t="s">
        <v>657</v>
      </c>
      <c r="T58" s="529" t="e">
        <f>#REF!</f>
        <v>#REF!</v>
      </c>
    </row>
    <row r="59" spans="2:48">
      <c r="T59" s="526" t="e">
        <f>T58+SUM(K55:T55)-#REF!-T43-L53</f>
        <v>#REF!</v>
      </c>
      <c r="Y59" s="706" t="e">
        <f t="shared" ref="Y59:AA59" si="60">Y21/SUM(X19:X20)</f>
        <v>#DIV/0!</v>
      </c>
      <c r="Z59" s="706">
        <f t="shared" si="60"/>
        <v>0.24905660958105333</v>
      </c>
      <c r="AA59" s="706">
        <f t="shared" si="60"/>
        <v>0.24424290820635794</v>
      </c>
      <c r="AB59" s="706">
        <f>AB21/SUM(AA19:AA20)</f>
        <v>0.23899453473494991</v>
      </c>
      <c r="AC59" s="706">
        <f t="shared" ref="AC59:AG59" si="61">AC21/SUM(AB19:AB20)</f>
        <v>0.25196926394976638</v>
      </c>
      <c r="AD59" s="706">
        <f t="shared" si="61"/>
        <v>0.23710547842927457</v>
      </c>
      <c r="AE59" s="706">
        <f t="shared" si="61"/>
        <v>0.25515990249752357</v>
      </c>
      <c r="AF59" s="706">
        <f t="shared" si="61"/>
        <v>0.24665381868886604</v>
      </c>
      <c r="AG59" s="706">
        <f t="shared" si="61"/>
        <v>0.24665381868886607</v>
      </c>
      <c r="AH59" s="712">
        <f>SUM(Z21:AG21)/SUM(Y19:AF20)</f>
        <v>0.24562615160737544</v>
      </c>
      <c r="AI59" s="706" t="s">
        <v>942</v>
      </c>
      <c r="AJ59" s="706"/>
    </row>
    <row r="60" spans="2:48">
      <c r="B60" s="505" t="s">
        <v>659</v>
      </c>
      <c r="C60" s="505"/>
      <c r="D60" s="505"/>
      <c r="E60" s="505"/>
      <c r="F60" s="515"/>
      <c r="G60" s="516">
        <v>3237068</v>
      </c>
      <c r="H60" s="516">
        <v>3237068</v>
      </c>
      <c r="I60" s="516">
        <v>3237068</v>
      </c>
      <c r="J60" s="516">
        <v>3237068</v>
      </c>
      <c r="K60" s="516">
        <v>3237068</v>
      </c>
      <c r="L60" s="516">
        <v>3237068</v>
      </c>
      <c r="M60" s="516">
        <v>3237068</v>
      </c>
      <c r="N60" s="516">
        <v>3237068</v>
      </c>
      <c r="O60" s="516">
        <v>3237068</v>
      </c>
      <c r="P60" s="516">
        <v>3237068</v>
      </c>
      <c r="Q60" s="516">
        <v>3237068</v>
      </c>
      <c r="R60" s="516">
        <v>3237068</v>
      </c>
      <c r="S60" s="516">
        <v>3237068</v>
      </c>
      <c r="T60" s="516">
        <v>3237068</v>
      </c>
      <c r="Z60" s="520">
        <f>Z22/Y19</f>
        <v>0.5264293132251785</v>
      </c>
      <c r="AA60" s="520">
        <f t="shared" ref="AA60:AG60" si="62">AA22/Z19</f>
        <v>0.54559599696224093</v>
      </c>
      <c r="AB60" s="520">
        <f t="shared" si="62"/>
        <v>0.55045589834561459</v>
      </c>
      <c r="AC60" s="520">
        <f t="shared" si="62"/>
        <v>0.58944764466376609</v>
      </c>
      <c r="AD60" s="520">
        <f t="shared" si="62"/>
        <v>0.5473678200924772</v>
      </c>
      <c r="AE60" s="520">
        <f t="shared" si="62"/>
        <v>0.66296123924130612</v>
      </c>
      <c r="AF60" s="520">
        <f t="shared" si="62"/>
        <v>0.55192049626172823</v>
      </c>
      <c r="AG60" s="520">
        <f t="shared" si="62"/>
        <v>0.61957346853616979</v>
      </c>
      <c r="AH60" s="712">
        <f>SUM(Z22:AG22)/SUM(Y19:AF19)</f>
        <v>0.57099914482378544</v>
      </c>
      <c r="AI60" s="425" t="s">
        <v>943</v>
      </c>
    </row>
    <row r="61" spans="2:48">
      <c r="B61" s="505" t="s">
        <v>660</v>
      </c>
      <c r="C61" s="505"/>
      <c r="D61" s="505"/>
      <c r="E61" s="505"/>
      <c r="F61" s="515"/>
      <c r="G61" s="524">
        <f>G56-G60</f>
        <v>19893076.434145913</v>
      </c>
      <c r="H61" s="524">
        <f t="shared" ref="H61:T61" si="63">H56-H60</f>
        <v>15420759.351179142</v>
      </c>
      <c r="I61" s="524" t="e">
        <f t="shared" si="63"/>
        <v>#REF!</v>
      </c>
      <c r="J61" s="524" t="e">
        <f t="shared" si="63"/>
        <v>#REF!</v>
      </c>
      <c r="K61" s="524" t="e">
        <f t="shared" si="63"/>
        <v>#REF!</v>
      </c>
      <c r="L61" s="524" t="e">
        <f t="shared" si="63"/>
        <v>#REF!</v>
      </c>
      <c r="M61" s="524" t="e">
        <f t="shared" si="63"/>
        <v>#REF!</v>
      </c>
      <c r="N61" s="524" t="e">
        <f t="shared" si="63"/>
        <v>#REF!</v>
      </c>
      <c r="O61" s="524" t="e">
        <f t="shared" si="63"/>
        <v>#REF!</v>
      </c>
      <c r="P61" s="524" t="e">
        <f t="shared" si="63"/>
        <v>#REF!</v>
      </c>
      <c r="Q61" s="524" t="e">
        <f t="shared" si="63"/>
        <v>#REF!</v>
      </c>
      <c r="R61" s="524" t="e">
        <f t="shared" si="63"/>
        <v>#REF!</v>
      </c>
      <c r="S61" s="524" t="e">
        <f t="shared" si="63"/>
        <v>#REF!</v>
      </c>
      <c r="T61" s="524" t="e">
        <f t="shared" si="63"/>
        <v>#REF!</v>
      </c>
      <c r="Z61" s="425" t="s">
        <v>944</v>
      </c>
    </row>
    <row r="62" spans="2:48">
      <c r="G62" s="526">
        <f>G56-SUM(G60:G61)</f>
        <v>0</v>
      </c>
      <c r="H62" s="526">
        <f t="shared" ref="H62:T62" si="64">H56-SUM(H60:H61)</f>
        <v>0</v>
      </c>
      <c r="I62" s="526" t="e">
        <f t="shared" si="64"/>
        <v>#REF!</v>
      </c>
      <c r="J62" s="526" t="e">
        <f t="shared" si="64"/>
        <v>#REF!</v>
      </c>
      <c r="K62" s="526" t="e">
        <f t="shared" si="64"/>
        <v>#REF!</v>
      </c>
      <c r="L62" s="526" t="e">
        <f t="shared" si="64"/>
        <v>#REF!</v>
      </c>
      <c r="M62" s="526" t="e">
        <f t="shared" si="64"/>
        <v>#REF!</v>
      </c>
      <c r="N62" s="526" t="e">
        <f t="shared" si="64"/>
        <v>#REF!</v>
      </c>
      <c r="O62" s="526" t="e">
        <f t="shared" si="64"/>
        <v>#REF!</v>
      </c>
      <c r="P62" s="526" t="e">
        <f t="shared" si="64"/>
        <v>#REF!</v>
      </c>
      <c r="Q62" s="526" t="e">
        <f t="shared" si="64"/>
        <v>#REF!</v>
      </c>
      <c r="R62" s="526" t="e">
        <f t="shared" si="64"/>
        <v>#REF!</v>
      </c>
      <c r="S62" s="526" t="e">
        <f t="shared" si="64"/>
        <v>#REF!</v>
      </c>
      <c r="T62" s="526" t="e">
        <f t="shared" si="64"/>
        <v>#REF!</v>
      </c>
      <c r="Z62" s="520">
        <f>Z22/(Y19-4750000/12)</f>
        <v>0.40491812353178835</v>
      </c>
      <c r="AA62" s="520">
        <f t="shared" ref="AA62:AG62" si="65">AA22/(Z19-4750000/12)</f>
        <v>0.41795502220565389</v>
      </c>
      <c r="AB62" s="520">
        <f t="shared" si="65"/>
        <v>0.41891096261060967</v>
      </c>
      <c r="AC62" s="520">
        <f t="shared" si="65"/>
        <v>0.42879936117912604</v>
      </c>
      <c r="AD62" s="520">
        <f t="shared" si="65"/>
        <v>0.4216572015814723</v>
      </c>
      <c r="AE62" s="520">
        <f t="shared" si="65"/>
        <v>0.48393841177878277</v>
      </c>
      <c r="AF62" s="520">
        <f t="shared" si="65"/>
        <v>0.42196763553990801</v>
      </c>
      <c r="AG62" s="520">
        <f t="shared" si="65"/>
        <v>0.46040336990944636</v>
      </c>
      <c r="AH62" s="712">
        <f>SUM(Z22:AG22)/(SUM(Y19:AF19)-4750000/12*8)</f>
        <v>0.43112360777090747</v>
      </c>
    </row>
    <row r="63" spans="2:48">
      <c r="B63" s="519" t="s">
        <v>646</v>
      </c>
      <c r="C63" s="519"/>
      <c r="D63" s="519"/>
      <c r="E63" s="519"/>
      <c r="S63" s="528"/>
      <c r="T63" s="425"/>
    </row>
    <row r="64" spans="2:48">
      <c r="B64" s="425" t="s">
        <v>647</v>
      </c>
      <c r="G64" s="508">
        <f>'3. P y G PRESENTACION'!B16</f>
        <v>-9193118.4165289719</v>
      </c>
      <c r="H64" s="508" t="e">
        <f>'3. P y G PRESENTACION'!#REF!</f>
        <v>#REF!</v>
      </c>
      <c r="I64" s="520" t="e">
        <f t="shared" ref="I64:I70" si="66">H64/G64</f>
        <v>#REF!</v>
      </c>
    </row>
    <row r="65" spans="2:20">
      <c r="B65" s="425" t="s">
        <v>648</v>
      </c>
      <c r="G65" s="508">
        <f>'3. P y G PRESENTACION'!B23</f>
        <v>-27170697.933794271</v>
      </c>
      <c r="H65" s="508" t="e">
        <f>'3. P y G PRESENTACION'!#REF!</f>
        <v>#REF!</v>
      </c>
      <c r="I65" s="520" t="e">
        <f t="shared" si="66"/>
        <v>#REF!</v>
      </c>
    </row>
    <row r="66" spans="2:20">
      <c r="B66" s="519" t="s">
        <v>649</v>
      </c>
      <c r="C66" s="519"/>
      <c r="D66" s="519"/>
      <c r="E66" s="519"/>
      <c r="F66" s="522"/>
      <c r="G66" s="522">
        <f>'3. P y G PRESENTACION'!B24</f>
        <v>-10039196.276827995</v>
      </c>
      <c r="H66" s="522" t="e">
        <f>'3. P y G PRESENTACION'!#REF!</f>
        <v>#REF!</v>
      </c>
      <c r="I66" s="523" t="e">
        <f t="shared" si="66"/>
        <v>#REF!</v>
      </c>
    </row>
    <row r="67" spans="2:20">
      <c r="B67" s="519" t="s">
        <v>650</v>
      </c>
      <c r="C67" s="519"/>
      <c r="D67" s="519"/>
      <c r="E67" s="519"/>
      <c r="F67" s="522"/>
      <c r="G67" s="522">
        <f>'3. P y G PRESENTACION'!B26</f>
        <v>-10574641.339435935</v>
      </c>
      <c r="H67" s="522" t="e">
        <f>'3. P y G PRESENTACION'!#REF!</f>
        <v>#REF!</v>
      </c>
      <c r="I67" s="523" t="e">
        <f t="shared" si="66"/>
        <v>#REF!</v>
      </c>
    </row>
    <row r="68" spans="2:20">
      <c r="B68" s="425" t="s">
        <v>652</v>
      </c>
      <c r="G68" s="508">
        <f>'3. P y G PRESENTACION'!B27</f>
        <v>-26989.65</v>
      </c>
      <c r="H68" s="508" t="e">
        <f>'3. P y G PRESENTACION'!#REF!</f>
        <v>#REF!</v>
      </c>
      <c r="I68" s="520" t="e">
        <f t="shared" si="66"/>
        <v>#REF!</v>
      </c>
    </row>
    <row r="69" spans="2:20">
      <c r="B69" s="425" t="s">
        <v>653</v>
      </c>
      <c r="G69" s="508" t="e">
        <f>'3. P y G PRESENTACION'!#REF!</f>
        <v>#REF!</v>
      </c>
      <c r="H69" s="508" t="e">
        <f>'3. P y G PRESENTACION'!#REF!</f>
        <v>#REF!</v>
      </c>
      <c r="I69" s="520" t="e">
        <f t="shared" si="66"/>
        <v>#REF!</v>
      </c>
    </row>
    <row r="70" spans="2:20">
      <c r="B70" s="425" t="s">
        <v>654</v>
      </c>
      <c r="G70" s="508">
        <f>'3. P y G PRESENTACION'!B18</f>
        <v>-50796.733025013782</v>
      </c>
      <c r="H70" s="508" t="e">
        <f>'3. P y G PRESENTACION'!#REF!</f>
        <v>#REF!</v>
      </c>
      <c r="I70" s="520" t="e">
        <f t="shared" si="66"/>
        <v>#REF!</v>
      </c>
    </row>
    <row r="73" spans="2:20">
      <c r="H73" s="715">
        <v>4092221.5852352399</v>
      </c>
      <c r="I73" s="715"/>
      <c r="J73" s="715"/>
      <c r="K73" s="715"/>
      <c r="L73" s="715"/>
      <c r="M73" s="715"/>
      <c r="N73" s="715"/>
      <c r="O73" s="715"/>
      <c r="P73" s="715"/>
      <c r="Q73" s="715"/>
      <c r="R73" s="715"/>
      <c r="S73" s="715"/>
      <c r="T73" s="715">
        <v>2457014.2054556101</v>
      </c>
    </row>
    <row r="76" spans="2:20">
      <c r="H76" s="514">
        <v>18544483.85464368</v>
      </c>
    </row>
    <row r="77" spans="2:20">
      <c r="H77" s="508">
        <f>H76-H56</f>
        <v>-113343.4965354614</v>
      </c>
      <c r="I77" s="508" t="s">
        <v>930</v>
      </c>
    </row>
    <row r="78" spans="2:20">
      <c r="I78" s="769">
        <v>700842.76515490492</v>
      </c>
      <c r="J78" s="770">
        <v>643995.4621914957</v>
      </c>
      <c r="K78" s="770">
        <v>754335.40584320505</v>
      </c>
      <c r="L78" s="770">
        <v>658597.64054441312</v>
      </c>
      <c r="M78" s="770">
        <v>711008.59194133768</v>
      </c>
      <c r="N78" s="770">
        <v>691622.67424285132</v>
      </c>
      <c r="O78" s="770">
        <v>671234.5185858832</v>
      </c>
      <c r="P78" s="770">
        <v>690301.15756561887</v>
      </c>
      <c r="Q78" s="770">
        <v>689018.6123007522</v>
      </c>
      <c r="R78" s="770">
        <v>700395.44578750432</v>
      </c>
      <c r="S78" s="770">
        <v>686907.0981395595</v>
      </c>
      <c r="T78" s="771">
        <v>672418.54111813742</v>
      </c>
    </row>
    <row r="79" spans="2:20">
      <c r="I79" s="766">
        <f>I78/SUM($I78:$T78)</f>
        <v>8.4738249088153361E-2</v>
      </c>
      <c r="J79" s="767">
        <f t="shared" ref="J79:T79" si="67">J78/SUM($I78:$T78)</f>
        <v>7.7864894381497615E-2</v>
      </c>
      <c r="K79" s="767">
        <f t="shared" si="67"/>
        <v>9.1205994688732361E-2</v>
      </c>
      <c r="L79" s="767">
        <f t="shared" si="67"/>
        <v>7.9630430230648697E-2</v>
      </c>
      <c r="M79" s="767">
        <f t="shared" si="67"/>
        <v>8.5967389781680184E-2</v>
      </c>
      <c r="N79" s="767">
        <f t="shared" si="67"/>
        <v>8.3623456442547137E-2</v>
      </c>
      <c r="O79" s="767">
        <f t="shared" si="67"/>
        <v>8.1158343440879285E-2</v>
      </c>
      <c r="P79" s="767">
        <f t="shared" si="67"/>
        <v>8.3463673086083837E-2</v>
      </c>
      <c r="Q79" s="767">
        <f t="shared" si="67"/>
        <v>8.3308601726965095E-2</v>
      </c>
      <c r="R79" s="767">
        <f t="shared" si="67"/>
        <v>8.4684164118083979E-2</v>
      </c>
      <c r="S79" s="767">
        <f t="shared" si="67"/>
        <v>8.3053300507004921E-2</v>
      </c>
      <c r="T79" s="768">
        <f t="shared" si="67"/>
        <v>8.1301502507723569E-2</v>
      </c>
    </row>
    <row r="80" spans="2:20">
      <c r="F80" s="425"/>
      <c r="G80" s="425"/>
    </row>
    <row r="81" spans="2:21">
      <c r="F81" s="425"/>
      <c r="G81" s="425"/>
      <c r="I81" s="508" t="s">
        <v>931</v>
      </c>
    </row>
    <row r="82" spans="2:21">
      <c r="B82" s="707" t="s">
        <v>104</v>
      </c>
      <c r="F82" s="425"/>
      <c r="G82" s="425"/>
      <c r="H82" s="828">
        <v>2504518.3415710554</v>
      </c>
      <c r="I82" s="769">
        <v>2268430.1802748744</v>
      </c>
      <c r="J82" s="770">
        <v>2157410.904236434</v>
      </c>
      <c r="K82" s="770">
        <v>2007633.2905173216</v>
      </c>
      <c r="L82" s="770">
        <v>2065970.8144429557</v>
      </c>
      <c r="M82" s="770">
        <v>2851171.6145552243</v>
      </c>
      <c r="N82" s="770">
        <v>2123502.6759331375</v>
      </c>
      <c r="O82" s="770">
        <v>2064246.733371095</v>
      </c>
      <c r="P82" s="770">
        <v>2048222.8888977652</v>
      </c>
      <c r="Q82" s="770">
        <v>2891890.1192564676</v>
      </c>
      <c r="R82" s="770">
        <v>2035838.9046473606</v>
      </c>
      <c r="S82" s="770">
        <v>2042926.7369685704</v>
      </c>
      <c r="T82" s="771">
        <v>2928227.2996701887</v>
      </c>
      <c r="U82" s="525" t="e">
        <f>SUM(I82:T82)-#REF!</f>
        <v>#REF!</v>
      </c>
    </row>
    <row r="83" spans="2:21">
      <c r="B83" s="707" t="s">
        <v>932</v>
      </c>
      <c r="F83" s="425"/>
      <c r="G83" s="425"/>
      <c r="H83" s="829">
        <v>28289.259999999995</v>
      </c>
      <c r="I83" s="772">
        <v>87091.503267973865</v>
      </c>
      <c r="J83" s="773">
        <v>87091.503267973865</v>
      </c>
      <c r="K83" s="773">
        <v>87091.503267973865</v>
      </c>
      <c r="L83" s="773">
        <v>87091.503267973865</v>
      </c>
      <c r="M83" s="773">
        <v>87091.503267973865</v>
      </c>
      <c r="N83" s="773">
        <v>87091.503267973865</v>
      </c>
      <c r="O83" s="773">
        <v>87091.503267973865</v>
      </c>
      <c r="P83" s="773">
        <v>87091.503267973865</v>
      </c>
      <c r="Q83" s="773">
        <v>87091.503267973865</v>
      </c>
      <c r="R83" s="773">
        <v>87091.503267973865</v>
      </c>
      <c r="S83" s="773">
        <v>87091.503267973865</v>
      </c>
      <c r="T83" s="774">
        <v>87091.503267973865</v>
      </c>
    </row>
    <row r="84" spans="2:21">
      <c r="B84" s="707" t="s">
        <v>933</v>
      </c>
      <c r="F84" s="425"/>
      <c r="G84" s="425"/>
      <c r="H84" s="829">
        <v>268062.46970672032</v>
      </c>
      <c r="I84" s="772">
        <v>282408.04949503142</v>
      </c>
      <c r="J84" s="773">
        <v>281915.68478398136</v>
      </c>
      <c r="K84" s="773">
        <v>281944.77012225636</v>
      </c>
      <c r="L84" s="773">
        <v>279669.74880880606</v>
      </c>
      <c r="M84" s="773">
        <v>279488.61031988118</v>
      </c>
      <c r="N84" s="773">
        <v>278970.61251133127</v>
      </c>
      <c r="O84" s="773">
        <v>278077.68535593123</v>
      </c>
      <c r="P84" s="773">
        <v>276576.72137198114</v>
      </c>
      <c r="Q84" s="773">
        <v>275569.19293193117</v>
      </c>
      <c r="R84" s="773">
        <v>274772.71047190618</v>
      </c>
      <c r="S84" s="773">
        <v>274682.02068601915</v>
      </c>
      <c r="T84" s="774">
        <v>272221.88148344413</v>
      </c>
    </row>
    <row r="85" spans="2:21">
      <c r="B85" s="707" t="s">
        <v>934</v>
      </c>
      <c r="F85" s="425"/>
      <c r="G85" s="425"/>
      <c r="H85" s="829">
        <v>237021.04231545131</v>
      </c>
      <c r="I85" s="772">
        <v>223520.55480749547</v>
      </c>
      <c r="J85" s="773">
        <v>164264.94183955117</v>
      </c>
      <c r="K85" s="773">
        <v>139983.87828888002</v>
      </c>
      <c r="L85" s="773">
        <v>145578.53863061423</v>
      </c>
      <c r="M85" s="773">
        <v>216963.54156890512</v>
      </c>
      <c r="N85" s="773">
        <v>249019.94198935386</v>
      </c>
      <c r="O85" s="773">
        <v>145598.4307666157</v>
      </c>
      <c r="P85" s="773">
        <v>144334.01842303577</v>
      </c>
      <c r="Q85" s="773">
        <v>321212.65821198834</v>
      </c>
      <c r="R85" s="773">
        <v>143464.07206300579</v>
      </c>
      <c r="S85" s="773">
        <v>144123.16327365083</v>
      </c>
      <c r="T85" s="774">
        <v>253899.22571814441</v>
      </c>
    </row>
    <row r="86" spans="2:21">
      <c r="B86" s="508" t="s">
        <v>935</v>
      </c>
      <c r="F86" s="425"/>
      <c r="G86" s="425"/>
      <c r="H86" s="830">
        <f t="shared" ref="H86" si="68">H82-SUM(H83:H85)</f>
        <v>1971145.5695488837</v>
      </c>
      <c r="I86" s="825">
        <f>I82-SUM(I83:I85)</f>
        <v>1675410.0727043739</v>
      </c>
      <c r="J86" s="826">
        <f t="shared" ref="J86:T86" si="69">J82-SUM(J83:J85)</f>
        <v>1624138.7743449276</v>
      </c>
      <c r="K86" s="826">
        <f t="shared" si="69"/>
        <v>1498613.1388382113</v>
      </c>
      <c r="L86" s="826">
        <f t="shared" si="69"/>
        <v>1553631.0237355614</v>
      </c>
      <c r="M86" s="826">
        <f t="shared" si="69"/>
        <v>2267627.9593984643</v>
      </c>
      <c r="N86" s="826">
        <f t="shared" si="69"/>
        <v>1508420.6181644786</v>
      </c>
      <c r="O86" s="826">
        <f t="shared" si="69"/>
        <v>1553479.1139805743</v>
      </c>
      <c r="P86" s="826">
        <f t="shared" si="69"/>
        <v>1540220.6458347745</v>
      </c>
      <c r="Q86" s="826">
        <f t="shared" si="69"/>
        <v>2208016.764844574</v>
      </c>
      <c r="R86" s="826">
        <f t="shared" si="69"/>
        <v>1530510.6188444747</v>
      </c>
      <c r="S86" s="826">
        <f>S82-SUM(S83:S85)+SUM(I83:T83)</f>
        <v>2582128.0889566131</v>
      </c>
      <c r="T86" s="827">
        <f t="shared" si="69"/>
        <v>2315014.6892006262</v>
      </c>
    </row>
    <row r="87" spans="2:21">
      <c r="B87" s="508" t="s">
        <v>936</v>
      </c>
      <c r="F87" s="425"/>
      <c r="G87" s="425"/>
      <c r="H87" s="710"/>
      <c r="I87" s="508">
        <v>0</v>
      </c>
      <c r="J87" s="508">
        <v>0</v>
      </c>
      <c r="K87" s="516">
        <v>2006427.2737401146</v>
      </c>
      <c r="L87" s="508">
        <v>0</v>
      </c>
      <c r="M87" s="508">
        <v>0</v>
      </c>
      <c r="N87" s="516">
        <v>1081462.8080184776</v>
      </c>
      <c r="O87" s="508">
        <v>0</v>
      </c>
      <c r="P87" s="508">
        <v>0</v>
      </c>
      <c r="Q87" s="516">
        <v>1100348.9966497351</v>
      </c>
      <c r="R87" s="508">
        <v>0</v>
      </c>
      <c r="S87" s="508">
        <v>0</v>
      </c>
      <c r="T87" s="516">
        <v>1110712.7588552588</v>
      </c>
    </row>
    <row r="88" spans="2:21">
      <c r="B88" s="508"/>
      <c r="F88" s="425"/>
      <c r="G88" s="425"/>
      <c r="I88" s="508" t="s">
        <v>938</v>
      </c>
      <c r="J88" s="508" t="s">
        <v>937</v>
      </c>
    </row>
    <row r="89" spans="2:21">
      <c r="B89" s="710" t="s">
        <v>580</v>
      </c>
      <c r="F89" s="425"/>
      <c r="G89" s="425"/>
      <c r="H89" s="710"/>
      <c r="I89" s="508">
        <v>1239329.5900000001</v>
      </c>
      <c r="J89" s="508">
        <v>509729</v>
      </c>
      <c r="K89" s="508">
        <f>I89+J89</f>
        <v>1749058.59</v>
      </c>
    </row>
    <row r="90" spans="2:21">
      <c r="B90" s="710" t="s">
        <v>581</v>
      </c>
      <c r="C90" s="710"/>
      <c r="D90" s="710"/>
      <c r="E90" s="710"/>
      <c r="H90" s="710"/>
      <c r="I90" s="508">
        <v>322364.59999999998</v>
      </c>
      <c r="J90" s="508">
        <f>1959702/3</f>
        <v>653234</v>
      </c>
      <c r="K90" s="508">
        <f t="shared" ref="K90:K92" si="70">I90+J90</f>
        <v>975598.6</v>
      </c>
      <c r="L90" s="508" t="s">
        <v>940</v>
      </c>
      <c r="M90" s="508">
        <f>J90/8</f>
        <v>81654.25</v>
      </c>
    </row>
    <row r="91" spans="2:21">
      <c r="B91" s="710" t="s">
        <v>582</v>
      </c>
      <c r="C91" s="710"/>
      <c r="D91" s="710"/>
      <c r="E91" s="710"/>
      <c r="H91" s="710"/>
      <c r="I91" s="508">
        <v>81291.58</v>
      </c>
      <c r="J91" s="508">
        <f>2729571/3</f>
        <v>909857</v>
      </c>
      <c r="K91" s="508">
        <f t="shared" si="70"/>
        <v>991148.58</v>
      </c>
      <c r="L91" s="508" t="s">
        <v>941</v>
      </c>
      <c r="M91" s="508">
        <f>J91/11</f>
        <v>82714.272727272721</v>
      </c>
    </row>
    <row r="92" spans="2:21">
      <c r="B92" s="710" t="s">
        <v>583</v>
      </c>
      <c r="C92" s="710"/>
      <c r="D92" s="710"/>
      <c r="E92" s="710"/>
      <c r="H92" s="710"/>
      <c r="I92" s="508">
        <v>0</v>
      </c>
      <c r="J92" s="508">
        <f>3015965/3</f>
        <v>1005321.6666666666</v>
      </c>
      <c r="K92" s="508">
        <f t="shared" si="70"/>
        <v>1005321.6666666666</v>
      </c>
      <c r="L92" s="711" t="s">
        <v>939</v>
      </c>
      <c r="M92" s="508">
        <f>J92/12</f>
        <v>83776.805555555547</v>
      </c>
    </row>
    <row r="94" spans="2:21">
      <c r="F94" s="526">
        <f>F86+F87+F19+F20+G21</f>
        <v>-1240487.73020092</v>
      </c>
      <c r="G94" s="526">
        <f t="shared" ref="G94:H94" si="71">G86+G87+G19+G20+H21</f>
        <v>-1472395.3631175398</v>
      </c>
      <c r="H94" s="526">
        <f t="shared" si="71"/>
        <v>41699.930639342812</v>
      </c>
      <c r="I94" s="526">
        <f t="shared" ref="I94:J94" si="72">I86+I87+I19+I20+J21</f>
        <v>0</v>
      </c>
      <c r="J94" s="526">
        <f t="shared" si="72"/>
        <v>0</v>
      </c>
      <c r="K94" s="526">
        <f>K86+K87+K19+K20+L21</f>
        <v>0</v>
      </c>
      <c r="L94" s="526">
        <f t="shared" ref="L94:S94" si="73">L86+L87+L19+L20+M21</f>
        <v>0</v>
      </c>
      <c r="M94" s="526">
        <f t="shared" si="73"/>
        <v>0</v>
      </c>
      <c r="N94" s="526">
        <f t="shared" si="73"/>
        <v>0</v>
      </c>
      <c r="O94" s="526">
        <f t="shared" si="73"/>
        <v>0</v>
      </c>
      <c r="P94" s="526">
        <f t="shared" si="73"/>
        <v>0</v>
      </c>
      <c r="Q94" s="526">
        <f t="shared" si="73"/>
        <v>0</v>
      </c>
      <c r="R94" s="526">
        <f t="shared" si="73"/>
        <v>0</v>
      </c>
      <c r="S94" s="526">
        <f t="shared" si="73"/>
        <v>0</v>
      </c>
      <c r="T94" s="526"/>
    </row>
    <row r="96" spans="2:21">
      <c r="B96" s="713">
        <v>44166</v>
      </c>
      <c r="C96" s="713"/>
      <c r="D96" s="713"/>
      <c r="E96" s="713"/>
      <c r="I96" s="508">
        <v>810038.48083333333</v>
      </c>
      <c r="J96" s="508">
        <f>488501/3</f>
        <v>162833.66666666666</v>
      </c>
      <c r="K96" s="508">
        <f t="shared" ref="K96" si="74">I96+J96</f>
        <v>972872.14749999996</v>
      </c>
      <c r="L96" s="508" t="s">
        <v>945</v>
      </c>
      <c r="M96" s="508">
        <f>J96/2</f>
        <v>81416.833333333328</v>
      </c>
    </row>
    <row r="101" spans="8:8">
      <c r="H101" s="508">
        <f>H56-F5</f>
        <v>7225612.3803708926</v>
      </c>
    </row>
    <row r="116" spans="10:11">
      <c r="J116" s="832">
        <v>45046</v>
      </c>
      <c r="K116" s="508">
        <v>192531.35</v>
      </c>
    </row>
    <row r="117" spans="10:11">
      <c r="J117" s="832">
        <v>45230</v>
      </c>
      <c r="K117" s="508">
        <v>192531.35</v>
      </c>
    </row>
    <row r="118" spans="10:11">
      <c r="J118" s="832">
        <v>44931</v>
      </c>
      <c r="K118" s="508">
        <v>352293.11</v>
      </c>
    </row>
    <row r="119" spans="10:11">
      <c r="J119" s="832">
        <v>45112</v>
      </c>
      <c r="K119" s="508">
        <v>352293.11</v>
      </c>
    </row>
  </sheetData>
  <pageMargins left="0.70866141732283472" right="0.70866141732283472" top="0.74803149606299213" bottom="0.74803149606299213" header="0.31496062992125984" footer="0.31496062992125984"/>
  <pageSetup paperSize="9" scale="37" orientation="landscape" r:id="rId1"/>
  <legacyDrawing r:id="rId2"/>
</worksheet>
</file>

<file path=xl/worksheets/sheet8.xml><?xml version="1.0" encoding="utf-8"?>
<worksheet xmlns="http://schemas.openxmlformats.org/spreadsheetml/2006/main" xmlns:r="http://schemas.openxmlformats.org/officeDocument/2006/relationships">
  <sheetPr>
    <tabColor rgb="FF92D050"/>
    <pageSetUpPr fitToPage="1"/>
  </sheetPr>
  <dimension ref="A1:R81"/>
  <sheetViews>
    <sheetView topLeftCell="C16" zoomScale="82" zoomScaleNormal="82" zoomScaleSheetLayoutView="70" workbookViewId="0">
      <selection activeCell="D94" sqref="D94"/>
    </sheetView>
  </sheetViews>
  <sheetFormatPr baseColWidth="10" defaultColWidth="11.42578125" defaultRowHeight="12.75" outlineLevelRow="1" outlineLevelCol="1"/>
  <cols>
    <col min="1" max="1" width="19.42578125" style="425" hidden="1" customWidth="1" outlineLevel="1"/>
    <col min="2" max="2" width="11.42578125" style="425" hidden="1" customWidth="1" outlineLevel="1"/>
    <col min="3" max="3" width="11.5703125" style="425" bestFit="1" customWidth="1" collapsed="1"/>
    <col min="4" max="4" width="107" style="425" customWidth="1"/>
    <col min="5" max="6" width="8.7109375" style="425" customWidth="1"/>
    <col min="7" max="7" width="18.7109375" style="425" customWidth="1"/>
    <col min="8" max="8" width="15.85546875" style="425" customWidth="1"/>
    <col min="9" max="9" width="18.5703125" style="425" bestFit="1" customWidth="1"/>
    <col min="10" max="18" width="11" style="425" customWidth="1"/>
    <col min="19" max="16384" width="11.42578125" style="425"/>
  </cols>
  <sheetData>
    <row r="1" spans="1:18" ht="60" customHeight="1" thickBot="1"/>
    <row r="2" spans="1:18" ht="13.5" thickBot="1">
      <c r="C2" s="909" t="s">
        <v>670</v>
      </c>
      <c r="D2" s="910"/>
      <c r="E2" s="910"/>
      <c r="F2" s="910"/>
      <c r="G2" s="910"/>
      <c r="H2" s="910"/>
      <c r="I2" s="910"/>
      <c r="J2" s="910"/>
      <c r="K2" s="910"/>
      <c r="L2" s="910"/>
      <c r="M2" s="910"/>
      <c r="N2" s="910"/>
      <c r="O2" s="910"/>
      <c r="P2" s="910"/>
      <c r="Q2" s="910"/>
      <c r="R2" s="911"/>
    </row>
    <row r="3" spans="1:18">
      <c r="C3" s="1105" t="s">
        <v>1</v>
      </c>
      <c r="D3" s="1106"/>
      <c r="E3" s="1106"/>
      <c r="F3" s="1106"/>
      <c r="G3" s="1106"/>
      <c r="H3" s="1106"/>
      <c r="I3" s="1106"/>
      <c r="J3" s="1106"/>
      <c r="K3" s="1106"/>
      <c r="L3" s="1106"/>
      <c r="M3" s="1106"/>
      <c r="N3" s="1106"/>
      <c r="O3" s="1106"/>
      <c r="P3" s="1107"/>
      <c r="Q3" s="1105" t="s">
        <v>2</v>
      </c>
      <c r="R3" s="1107"/>
    </row>
    <row r="4" spans="1:18" ht="13.5" thickBot="1">
      <c r="C4" s="952" t="s">
        <v>3</v>
      </c>
      <c r="D4" s="953"/>
      <c r="E4" s="953"/>
      <c r="F4" s="953"/>
      <c r="G4" s="953"/>
      <c r="H4" s="953"/>
      <c r="I4" s="953"/>
      <c r="J4" s="953"/>
      <c r="K4" s="953"/>
      <c r="L4" s="953"/>
      <c r="M4" s="953"/>
      <c r="N4" s="953"/>
      <c r="O4" s="953"/>
      <c r="P4" s="1108"/>
      <c r="Q4" s="913">
        <v>2023</v>
      </c>
      <c r="R4" s="913"/>
    </row>
    <row r="5" spans="1:18" ht="13.5" thickBot="1">
      <c r="C5" s="1109" t="s">
        <v>671</v>
      </c>
      <c r="D5" s="1110" t="s">
        <v>672</v>
      </c>
      <c r="E5" s="1110"/>
      <c r="F5" s="1110"/>
      <c r="G5" s="1110"/>
      <c r="H5" s="1110"/>
      <c r="I5" s="1110"/>
      <c r="J5" s="1110"/>
      <c r="K5" s="1110"/>
      <c r="L5" s="1110"/>
      <c r="M5" s="1110"/>
      <c r="N5" s="1110"/>
      <c r="O5" s="1111"/>
      <c r="P5" s="1109" t="s">
        <v>673</v>
      </c>
      <c r="Q5" s="1112" t="s">
        <v>674</v>
      </c>
      <c r="R5" s="1113"/>
    </row>
    <row r="6" spans="1:18" ht="13.5" thickBot="1">
      <c r="C6" s="1114" t="s">
        <v>675</v>
      </c>
      <c r="D6" s="1115"/>
      <c r="E6" s="1115"/>
      <c r="F6" s="1115"/>
      <c r="G6" s="1115"/>
      <c r="H6" s="1115"/>
      <c r="I6" s="1115"/>
      <c r="J6" s="1115"/>
      <c r="K6" s="1115"/>
      <c r="L6" s="1115"/>
      <c r="M6" s="1115"/>
      <c r="N6" s="1115"/>
      <c r="O6" s="1115"/>
      <c r="P6" s="1115"/>
      <c r="Q6" s="1115"/>
      <c r="R6" s="1116"/>
    </row>
    <row r="7" spans="1:18" ht="13.5" thickBot="1">
      <c r="C7" s="1117" t="s">
        <v>676</v>
      </c>
      <c r="D7" s="1118"/>
      <c r="E7" s="1118"/>
      <c r="F7" s="1118"/>
      <c r="G7" s="1118"/>
      <c r="H7" s="1118"/>
      <c r="I7" s="1118"/>
      <c r="J7" s="1118"/>
      <c r="K7" s="1118"/>
      <c r="L7" s="1118"/>
      <c r="M7" s="1118"/>
      <c r="N7" s="1118"/>
      <c r="O7" s="1118"/>
      <c r="P7" s="1118"/>
      <c r="Q7" s="1118"/>
      <c r="R7" s="1119"/>
    </row>
    <row r="8" spans="1:18">
      <c r="C8" s="1073" t="s">
        <v>677</v>
      </c>
      <c r="D8" s="1074"/>
      <c r="E8" s="1075" t="s">
        <v>678</v>
      </c>
      <c r="F8" s="1075" t="s">
        <v>679</v>
      </c>
      <c r="G8" s="1075" t="s">
        <v>680</v>
      </c>
      <c r="H8" s="1075" t="str">
        <f>"Ejecución prevista hasta 31/12/"&amp;Q4-1&amp;" (€)"</f>
        <v>Ejecución prevista hasta 31/12/2022 (€)</v>
      </c>
      <c r="I8" s="1074" t="s">
        <v>681</v>
      </c>
      <c r="J8" s="1074"/>
      <c r="K8" s="1074"/>
      <c r="L8" s="1074"/>
      <c r="M8" s="1074"/>
      <c r="N8" s="1076" t="str">
        <f>"Previsión de importes comprometidos a 31/12/"&amp;Q4-1&amp;" (€)"</f>
        <v>Previsión de importes comprometidos a 31/12/2022 (€)</v>
      </c>
      <c r="O8" s="1076"/>
      <c r="P8" s="1076"/>
      <c r="Q8" s="1076"/>
      <c r="R8" s="1077"/>
    </row>
    <row r="9" spans="1:18">
      <c r="C9" s="1078" t="s">
        <v>682</v>
      </c>
      <c r="D9" s="1079" t="s">
        <v>683</v>
      </c>
      <c r="E9" s="1080"/>
      <c r="F9" s="1080"/>
      <c r="G9" s="1080"/>
      <c r="H9" s="1080"/>
      <c r="I9" s="1081">
        <f>Q4</f>
        <v>2023</v>
      </c>
      <c r="J9" s="1081">
        <f>I9+1</f>
        <v>2024</v>
      </c>
      <c r="K9" s="1081">
        <f>J9+1</f>
        <v>2025</v>
      </c>
      <c r="L9" s="1081">
        <f>K9+1</f>
        <v>2026</v>
      </c>
      <c r="M9" s="1081" t="s">
        <v>390</v>
      </c>
      <c r="N9" s="1081">
        <f>Q4</f>
        <v>2023</v>
      </c>
      <c r="O9" s="1081">
        <f>N9+1</f>
        <v>2024</v>
      </c>
      <c r="P9" s="1081">
        <f>O9+1</f>
        <v>2025</v>
      </c>
      <c r="Q9" s="1081">
        <f>P9+1</f>
        <v>2026</v>
      </c>
      <c r="R9" s="1082" t="s">
        <v>390</v>
      </c>
    </row>
    <row r="10" spans="1:18">
      <c r="C10" s="1083">
        <v>1</v>
      </c>
      <c r="D10" s="1084" t="s">
        <v>928</v>
      </c>
      <c r="E10" s="1120">
        <v>2023</v>
      </c>
      <c r="F10" s="1120">
        <v>2023</v>
      </c>
      <c r="G10" s="1121">
        <v>10404800.232999999</v>
      </c>
      <c r="H10" s="1121"/>
      <c r="I10" s="1122">
        <v>10404800.232999999</v>
      </c>
      <c r="J10" s="1033"/>
      <c r="K10" s="1033"/>
      <c r="L10" s="1033"/>
      <c r="M10" s="1033"/>
      <c r="N10" s="1033"/>
      <c r="O10" s="1033"/>
      <c r="P10" s="1033"/>
      <c r="Q10" s="1033"/>
      <c r="R10" s="1034"/>
    </row>
    <row r="11" spans="1:18" ht="15" customHeight="1">
      <c r="A11" s="569" t="e">
        <f>VLOOKUP(D11,#REF!,12,FALSE)</f>
        <v>#REF!</v>
      </c>
      <c r="C11" s="1083">
        <f>C10+1</f>
        <v>2</v>
      </c>
      <c r="D11" s="1084" t="s">
        <v>1058</v>
      </c>
      <c r="E11" s="1120">
        <v>2023</v>
      </c>
      <c r="F11" s="1120">
        <v>2023</v>
      </c>
      <c r="G11" s="1121">
        <v>7898500</v>
      </c>
      <c r="H11" s="1121"/>
      <c r="I11" s="1122">
        <v>7898500</v>
      </c>
      <c r="J11" s="1123"/>
      <c r="K11" s="1033"/>
      <c r="L11" s="1033"/>
      <c r="M11" s="1033"/>
      <c r="N11" s="1033"/>
      <c r="O11" s="1033"/>
      <c r="P11" s="1033"/>
      <c r="Q11" s="1033"/>
      <c r="R11" s="1034"/>
    </row>
    <row r="12" spans="1:18" ht="15" customHeight="1">
      <c r="A12" s="569" t="e">
        <f>VLOOKUP(D12,#REF!,12,FALSE)</f>
        <v>#REF!</v>
      </c>
      <c r="C12" s="1083">
        <f t="shared" ref="C12:C37" si="0">C11+1</f>
        <v>3</v>
      </c>
      <c r="D12" s="1084" t="s">
        <v>1056</v>
      </c>
      <c r="E12" s="1120">
        <v>2023</v>
      </c>
      <c r="F12" s="1120">
        <v>2023</v>
      </c>
      <c r="G12" s="1121">
        <v>5800000</v>
      </c>
      <c r="H12" s="1121"/>
      <c r="I12" s="1122">
        <v>5800000</v>
      </c>
      <c r="J12" s="1033"/>
      <c r="K12" s="1033"/>
      <c r="L12" s="1033"/>
      <c r="M12" s="1033"/>
      <c r="N12" s="1033"/>
      <c r="O12" s="1033"/>
      <c r="P12" s="1033"/>
      <c r="Q12" s="1033"/>
      <c r="R12" s="1034"/>
    </row>
    <row r="13" spans="1:18" ht="15" customHeight="1">
      <c r="A13" s="569" t="e">
        <f>VLOOKUP(D13,#REF!,12,FALSE)</f>
        <v>#REF!</v>
      </c>
      <c r="C13" s="1083">
        <f t="shared" si="0"/>
        <v>4</v>
      </c>
      <c r="D13" s="1084" t="s">
        <v>1042</v>
      </c>
      <c r="E13" s="1120">
        <v>2023</v>
      </c>
      <c r="F13" s="1120">
        <v>2023</v>
      </c>
      <c r="G13" s="1121">
        <v>5980000</v>
      </c>
      <c r="H13" s="1121"/>
      <c r="I13" s="1122">
        <v>5980000</v>
      </c>
      <c r="J13" s="1122"/>
      <c r="K13" s="1033"/>
      <c r="L13" s="1033"/>
      <c r="M13" s="1033"/>
      <c r="N13" s="1033"/>
      <c r="O13" s="1033"/>
      <c r="P13" s="1033"/>
      <c r="Q13" s="1033"/>
      <c r="R13" s="1034"/>
    </row>
    <row r="14" spans="1:18" ht="15" customHeight="1">
      <c r="A14" s="569" t="e">
        <f>VLOOKUP(D14,#REF!,12,FALSE)</f>
        <v>#REF!</v>
      </c>
      <c r="C14" s="1083">
        <f t="shared" si="0"/>
        <v>5</v>
      </c>
      <c r="D14" s="1084" t="s">
        <v>1059</v>
      </c>
      <c r="E14" s="1120">
        <v>2023</v>
      </c>
      <c r="F14" s="1120">
        <v>2023</v>
      </c>
      <c r="G14" s="1121">
        <v>3000000</v>
      </c>
      <c r="H14" s="1121"/>
      <c r="I14" s="1122">
        <v>3000000</v>
      </c>
      <c r="J14" s="1033"/>
      <c r="K14" s="1033"/>
      <c r="L14" s="1033"/>
      <c r="M14" s="1033"/>
      <c r="N14" s="1033"/>
      <c r="O14" s="1033"/>
      <c r="P14" s="1033"/>
      <c r="Q14" s="1033"/>
      <c r="R14" s="1034"/>
    </row>
    <row r="15" spans="1:18" ht="15" customHeight="1">
      <c r="A15" s="569" t="e">
        <f>VLOOKUP(D15,#REF!,12,FALSE)</f>
        <v>#REF!</v>
      </c>
      <c r="C15" s="1083">
        <f t="shared" si="0"/>
        <v>6</v>
      </c>
      <c r="D15" s="1084" t="s">
        <v>1018</v>
      </c>
      <c r="E15" s="1120">
        <v>2023</v>
      </c>
      <c r="F15" s="1120">
        <v>2023</v>
      </c>
      <c r="G15" s="1121">
        <v>3000000</v>
      </c>
      <c r="H15" s="1121"/>
      <c r="I15" s="1122">
        <v>3000000</v>
      </c>
      <c r="J15" s="1033"/>
      <c r="K15" s="1033"/>
      <c r="L15" s="1033"/>
      <c r="M15" s="1033"/>
      <c r="N15" s="1033"/>
      <c r="O15" s="1033"/>
      <c r="P15" s="1033"/>
      <c r="Q15" s="1033"/>
      <c r="R15" s="1034"/>
    </row>
    <row r="16" spans="1:18" ht="15" customHeight="1">
      <c r="A16" s="569" t="e">
        <f>VLOOKUP(D16,#REF!,12,FALSE)</f>
        <v>#REF!</v>
      </c>
      <c r="C16" s="1083">
        <f t="shared" si="0"/>
        <v>7</v>
      </c>
      <c r="D16" s="1084" t="s">
        <v>1053</v>
      </c>
      <c r="E16" s="1120">
        <v>2023</v>
      </c>
      <c r="F16" s="1120">
        <v>2023</v>
      </c>
      <c r="G16" s="1121">
        <v>2144000</v>
      </c>
      <c r="H16" s="1121"/>
      <c r="I16" s="1122">
        <v>2144000</v>
      </c>
      <c r="J16" s="1033"/>
      <c r="K16" s="1033"/>
      <c r="L16" s="1033"/>
      <c r="M16" s="1033"/>
      <c r="N16" s="1033"/>
      <c r="O16" s="1033"/>
      <c r="P16" s="1033"/>
      <c r="Q16" s="1033"/>
      <c r="R16" s="1034"/>
    </row>
    <row r="17" spans="1:18" ht="15" customHeight="1">
      <c r="A17" s="569" t="e">
        <f>VLOOKUP(D17,#REF!,12,FALSE)</f>
        <v>#REF!</v>
      </c>
      <c r="C17" s="1083">
        <f t="shared" si="0"/>
        <v>8</v>
      </c>
      <c r="D17" s="1084" t="s">
        <v>1044</v>
      </c>
      <c r="E17" s="1120">
        <v>2023</v>
      </c>
      <c r="F17" s="1120">
        <v>2023</v>
      </c>
      <c r="G17" s="1121">
        <v>1510000</v>
      </c>
      <c r="H17" s="1121"/>
      <c r="I17" s="1122">
        <v>1510000</v>
      </c>
      <c r="J17" s="1033"/>
      <c r="K17" s="1033"/>
      <c r="L17" s="1033"/>
      <c r="M17" s="1033"/>
      <c r="N17" s="1033"/>
      <c r="O17" s="1033"/>
      <c r="P17" s="1033"/>
      <c r="Q17" s="1033"/>
      <c r="R17" s="1034"/>
    </row>
    <row r="18" spans="1:18" ht="15" customHeight="1">
      <c r="A18" s="569" t="e">
        <f>VLOOKUP(D18,#REF!,12,FALSE)</f>
        <v>#REF!</v>
      </c>
      <c r="C18" s="1083">
        <f t="shared" si="0"/>
        <v>9</v>
      </c>
      <c r="D18" s="1084" t="s">
        <v>950</v>
      </c>
      <c r="E18" s="1120">
        <v>2023</v>
      </c>
      <c r="F18" s="1120">
        <v>2023</v>
      </c>
      <c r="G18" s="1121">
        <v>1116768.2949999999</v>
      </c>
      <c r="H18" s="1121"/>
      <c r="I18" s="1122">
        <v>1116768.2949999999</v>
      </c>
      <c r="J18" s="1033"/>
      <c r="K18" s="1033"/>
      <c r="L18" s="1033"/>
      <c r="M18" s="1033"/>
      <c r="N18" s="1033"/>
      <c r="O18" s="1033"/>
      <c r="P18" s="1033"/>
      <c r="Q18" s="1033"/>
      <c r="R18" s="1034"/>
    </row>
    <row r="19" spans="1:18" ht="15" customHeight="1">
      <c r="A19" s="569" t="e">
        <f>VLOOKUP(D19,#REF!,12,FALSE)</f>
        <v>#REF!</v>
      </c>
      <c r="C19" s="1083">
        <f t="shared" si="0"/>
        <v>10</v>
      </c>
      <c r="D19" s="1084" t="s">
        <v>1051</v>
      </c>
      <c r="E19" s="1120">
        <v>2023</v>
      </c>
      <c r="F19" s="1120">
        <v>2023</v>
      </c>
      <c r="G19" s="1121">
        <v>949500</v>
      </c>
      <c r="H19" s="1121"/>
      <c r="I19" s="1122">
        <v>949500</v>
      </c>
      <c r="J19" s="1033"/>
      <c r="K19" s="1033"/>
      <c r="L19" s="1033"/>
      <c r="M19" s="1033"/>
      <c r="N19" s="1033"/>
      <c r="O19" s="1033"/>
      <c r="P19" s="1033"/>
      <c r="Q19" s="1033"/>
      <c r="R19" s="1034"/>
    </row>
    <row r="20" spans="1:18" ht="15" customHeight="1">
      <c r="A20" s="569" t="e">
        <f>VLOOKUP(D20,#REF!,12,FALSE)</f>
        <v>#REF!</v>
      </c>
      <c r="C20" s="1083">
        <f t="shared" si="0"/>
        <v>11</v>
      </c>
      <c r="D20" s="1084" t="s">
        <v>1055</v>
      </c>
      <c r="E20" s="1120">
        <v>2023</v>
      </c>
      <c r="F20" s="1120">
        <v>2023</v>
      </c>
      <c r="G20" s="1121">
        <v>605000</v>
      </c>
      <c r="H20" s="1121"/>
      <c r="I20" s="1122">
        <v>605000</v>
      </c>
      <c r="J20" s="1040"/>
      <c r="K20" s="1033"/>
      <c r="L20" s="1033"/>
      <c r="M20" s="1033"/>
      <c r="N20" s="1033"/>
      <c r="O20" s="1033"/>
      <c r="P20" s="1033"/>
      <c r="Q20" s="1033"/>
      <c r="R20" s="1034"/>
    </row>
    <row r="21" spans="1:18" ht="15" customHeight="1">
      <c r="A21" s="569" t="e">
        <f>VLOOKUP(D21,#REF!,12,FALSE)</f>
        <v>#REF!</v>
      </c>
      <c r="C21" s="1083">
        <f t="shared" si="0"/>
        <v>12</v>
      </c>
      <c r="D21" s="1085" t="s">
        <v>1050</v>
      </c>
      <c r="E21" s="1120">
        <v>2023</v>
      </c>
      <c r="F21" s="1120">
        <v>2023</v>
      </c>
      <c r="G21" s="1121">
        <v>555000</v>
      </c>
      <c r="H21" s="1121"/>
      <c r="I21" s="1122">
        <v>555000</v>
      </c>
      <c r="J21" s="1122"/>
      <c r="K21" s="1033"/>
      <c r="L21" s="1033"/>
      <c r="M21" s="1033"/>
      <c r="N21" s="1033"/>
      <c r="O21" s="1033"/>
      <c r="P21" s="1033"/>
      <c r="Q21" s="1033"/>
      <c r="R21" s="1034"/>
    </row>
    <row r="22" spans="1:18" ht="15" customHeight="1">
      <c r="A22" s="569" t="e">
        <f>VLOOKUP(D22,#REF!,12,FALSE)</f>
        <v>#REF!</v>
      </c>
      <c r="C22" s="1083">
        <f t="shared" si="0"/>
        <v>13</v>
      </c>
      <c r="D22" s="1084" t="s">
        <v>1014</v>
      </c>
      <c r="E22" s="1120">
        <v>2023</v>
      </c>
      <c r="F22" s="1120">
        <v>2023</v>
      </c>
      <c r="G22" s="1121">
        <v>355000</v>
      </c>
      <c r="H22" s="1121"/>
      <c r="I22" s="1122">
        <v>355000</v>
      </c>
      <c r="J22" s="1033"/>
      <c r="K22" s="1033"/>
      <c r="L22" s="1033"/>
      <c r="M22" s="1033"/>
      <c r="N22" s="1033"/>
      <c r="O22" s="1033"/>
      <c r="P22" s="1033"/>
      <c r="Q22" s="1033"/>
      <c r="R22" s="1034"/>
    </row>
    <row r="23" spans="1:18" ht="15" customHeight="1">
      <c r="A23" s="569" t="e">
        <f>VLOOKUP(D23,#REF!,12,FALSE)</f>
        <v>#REF!</v>
      </c>
      <c r="C23" s="1083">
        <f t="shared" si="0"/>
        <v>14</v>
      </c>
      <c r="D23" s="1084" t="s">
        <v>1013</v>
      </c>
      <c r="E23" s="1120">
        <v>2023</v>
      </c>
      <c r="F23" s="1120">
        <v>2023</v>
      </c>
      <c r="G23" s="1121">
        <v>346800</v>
      </c>
      <c r="H23" s="1121"/>
      <c r="I23" s="1122">
        <v>346800</v>
      </c>
      <c r="J23" s="1033"/>
      <c r="K23" s="1033"/>
      <c r="L23" s="1033"/>
      <c r="M23" s="1033"/>
      <c r="N23" s="1033"/>
      <c r="O23" s="1033"/>
      <c r="P23" s="1033"/>
      <c r="Q23" s="1033"/>
      <c r="R23" s="1034"/>
    </row>
    <row r="24" spans="1:18" ht="15" customHeight="1">
      <c r="A24" s="569" t="e">
        <f>VLOOKUP(D24,#REF!,12,FALSE)</f>
        <v>#REF!</v>
      </c>
      <c r="C24" s="1083">
        <f t="shared" si="0"/>
        <v>15</v>
      </c>
      <c r="D24" s="1084" t="s">
        <v>1045</v>
      </c>
      <c r="E24" s="1120">
        <v>2023</v>
      </c>
      <c r="F24" s="1120">
        <v>2023</v>
      </c>
      <c r="G24" s="1121">
        <v>100000</v>
      </c>
      <c r="H24" s="1121"/>
      <c r="I24" s="1122">
        <v>100000</v>
      </c>
      <c r="J24" s="1121"/>
      <c r="K24" s="1033"/>
      <c r="L24" s="1033"/>
      <c r="M24" s="1033"/>
      <c r="N24" s="1033"/>
      <c r="O24" s="1033"/>
      <c r="P24" s="1033"/>
      <c r="Q24" s="1033"/>
      <c r="R24" s="1034"/>
    </row>
    <row r="25" spans="1:18" ht="15" customHeight="1">
      <c r="A25" s="569" t="e">
        <f>VLOOKUP(D25,#REF!,12,FALSE)</f>
        <v>#REF!</v>
      </c>
      <c r="C25" s="1083">
        <f t="shared" si="0"/>
        <v>16</v>
      </c>
      <c r="D25" s="1084" t="s">
        <v>1043</v>
      </c>
      <c r="E25" s="1120">
        <v>2023</v>
      </c>
      <c r="F25" s="1120">
        <v>2023</v>
      </c>
      <c r="G25" s="1121">
        <v>91500</v>
      </c>
      <c r="H25" s="1121"/>
      <c r="I25" s="1122">
        <v>91500</v>
      </c>
      <c r="J25" s="1040"/>
      <c r="K25" s="1033"/>
      <c r="L25" s="1033"/>
      <c r="M25" s="1033"/>
      <c r="N25" s="1033"/>
      <c r="O25" s="1033"/>
      <c r="P25" s="1033"/>
      <c r="Q25" s="1033"/>
      <c r="R25" s="1034"/>
    </row>
    <row r="26" spans="1:18" ht="15" customHeight="1">
      <c r="A26" s="569" t="e">
        <f>VLOOKUP(D26,#REF!,12,FALSE)</f>
        <v>#REF!</v>
      </c>
      <c r="C26" s="1083">
        <f t="shared" si="0"/>
        <v>17</v>
      </c>
      <c r="D26" s="1084" t="s">
        <v>953</v>
      </c>
      <c r="E26" s="1120">
        <v>2023</v>
      </c>
      <c r="F26" s="1120">
        <v>2023</v>
      </c>
      <c r="G26" s="1121">
        <v>75000</v>
      </c>
      <c r="H26" s="1121"/>
      <c r="I26" s="1122">
        <v>75000</v>
      </c>
      <c r="J26" s="1124"/>
      <c r="K26" s="1033"/>
      <c r="L26" s="1033"/>
      <c r="M26" s="1033"/>
      <c r="N26" s="1033"/>
      <c r="O26" s="1033"/>
      <c r="P26" s="1033"/>
      <c r="Q26" s="1033"/>
      <c r="R26" s="1034"/>
    </row>
    <row r="27" spans="1:18" ht="15" customHeight="1">
      <c r="A27" s="569" t="e">
        <f>VLOOKUP(D27,#REF!,12,FALSE)</f>
        <v>#REF!</v>
      </c>
      <c r="C27" s="1083">
        <f t="shared" si="0"/>
        <v>18</v>
      </c>
      <c r="D27" s="1084" t="s">
        <v>954</v>
      </c>
      <c r="E27" s="1120">
        <v>2023</v>
      </c>
      <c r="F27" s="1120">
        <v>2023</v>
      </c>
      <c r="G27" s="1121">
        <v>75000</v>
      </c>
      <c r="H27" s="1121"/>
      <c r="I27" s="1122">
        <v>75000</v>
      </c>
      <c r="J27" s="1033"/>
      <c r="K27" s="1033"/>
      <c r="L27" s="1033"/>
      <c r="M27" s="1033"/>
      <c r="N27" s="1033"/>
      <c r="O27" s="1033"/>
      <c r="P27" s="1033"/>
      <c r="Q27" s="1033"/>
      <c r="R27" s="1034"/>
    </row>
    <row r="28" spans="1:18" ht="15" customHeight="1">
      <c r="A28" s="569" t="e">
        <f>VLOOKUP(D28,#REF!,12,FALSE)</f>
        <v>#REF!</v>
      </c>
      <c r="C28" s="1083">
        <f t="shared" si="0"/>
        <v>19</v>
      </c>
      <c r="D28" s="1084" t="s">
        <v>1046</v>
      </c>
      <c r="E28" s="1120">
        <v>2023</v>
      </c>
      <c r="F28" s="1120">
        <v>2023</v>
      </c>
      <c r="G28" s="1121">
        <v>70000</v>
      </c>
      <c r="H28" s="1121"/>
      <c r="I28" s="1122">
        <v>70000</v>
      </c>
      <c r="J28" s="1040"/>
      <c r="K28" s="1033"/>
      <c r="L28" s="1033"/>
      <c r="M28" s="1033"/>
      <c r="N28" s="1033"/>
      <c r="O28" s="1033"/>
      <c r="P28" s="1033"/>
      <c r="Q28" s="1033"/>
      <c r="R28" s="1034"/>
    </row>
    <row r="29" spans="1:18" ht="15" customHeight="1">
      <c r="A29" s="569" t="e">
        <f>VLOOKUP(D29,#REF!,12,FALSE)</f>
        <v>#REF!</v>
      </c>
      <c r="C29" s="1083">
        <f t="shared" si="0"/>
        <v>20</v>
      </c>
      <c r="D29" s="1084" t="s">
        <v>1052</v>
      </c>
      <c r="E29" s="1120">
        <v>2023</v>
      </c>
      <c r="F29" s="1120">
        <v>2023</v>
      </c>
      <c r="G29" s="1121">
        <v>70000</v>
      </c>
      <c r="H29" s="1121"/>
      <c r="I29" s="1122">
        <v>70000</v>
      </c>
      <c r="J29" s="1033"/>
      <c r="K29" s="1033"/>
      <c r="L29" s="1033"/>
      <c r="M29" s="1033"/>
      <c r="N29" s="1033"/>
      <c r="O29" s="1033"/>
      <c r="P29" s="1033"/>
      <c r="Q29" s="1033"/>
      <c r="R29" s="1034"/>
    </row>
    <row r="30" spans="1:18" ht="15" customHeight="1">
      <c r="A30" s="569" t="e">
        <f>VLOOKUP(D30,#REF!,12,FALSE)</f>
        <v>#REF!</v>
      </c>
      <c r="C30" s="1083">
        <f t="shared" si="0"/>
        <v>21</v>
      </c>
      <c r="D30" s="1084" t="s">
        <v>1047</v>
      </c>
      <c r="E30" s="1120">
        <v>2023</v>
      </c>
      <c r="F30" s="1120">
        <v>2023</v>
      </c>
      <c r="G30" s="1121">
        <v>70000</v>
      </c>
      <c r="H30" s="1121"/>
      <c r="I30" s="1122">
        <v>70000</v>
      </c>
      <c r="J30" s="1033"/>
      <c r="K30" s="1033"/>
      <c r="L30" s="1033"/>
      <c r="M30" s="1033"/>
      <c r="N30" s="1033"/>
      <c r="O30" s="1033"/>
      <c r="P30" s="1033"/>
      <c r="Q30" s="1033"/>
      <c r="R30" s="1034"/>
    </row>
    <row r="31" spans="1:18" ht="15" customHeight="1">
      <c r="A31" s="569" t="e">
        <f>VLOOKUP(D31,#REF!,12,FALSE)</f>
        <v>#REF!</v>
      </c>
      <c r="C31" s="1083">
        <f t="shared" si="0"/>
        <v>22</v>
      </c>
      <c r="D31" s="1084" t="s">
        <v>1015</v>
      </c>
      <c r="E31" s="1120">
        <v>2023</v>
      </c>
      <c r="F31" s="1120">
        <v>2023</v>
      </c>
      <c r="G31" s="1121">
        <v>50000</v>
      </c>
      <c r="H31" s="1121"/>
      <c r="I31" s="1122">
        <v>50000</v>
      </c>
      <c r="J31" s="1122"/>
      <c r="K31" s="1033"/>
      <c r="L31" s="1033"/>
      <c r="M31" s="1033"/>
      <c r="N31" s="1033"/>
      <c r="O31" s="1033"/>
      <c r="P31" s="1033"/>
      <c r="Q31" s="1033"/>
      <c r="R31" s="1034"/>
    </row>
    <row r="32" spans="1:18" ht="15" customHeight="1">
      <c r="A32" s="569" t="e">
        <f>VLOOKUP(D32,#REF!,12,FALSE)</f>
        <v>#REF!</v>
      </c>
      <c r="C32" s="1083">
        <f t="shared" si="0"/>
        <v>23</v>
      </c>
      <c r="D32" s="1084" t="s">
        <v>1049</v>
      </c>
      <c r="E32" s="1120">
        <v>2023</v>
      </c>
      <c r="F32" s="1120">
        <v>2023</v>
      </c>
      <c r="G32" s="1121">
        <v>40768.54</v>
      </c>
      <c r="H32" s="1121"/>
      <c r="I32" s="1122">
        <v>40768.54</v>
      </c>
      <c r="J32" s="1033"/>
      <c r="K32" s="1033"/>
      <c r="L32" s="1033"/>
      <c r="M32" s="1033"/>
      <c r="N32" s="1033"/>
      <c r="O32" s="1033"/>
      <c r="P32" s="1033"/>
      <c r="Q32" s="1033"/>
      <c r="R32" s="1034"/>
    </row>
    <row r="33" spans="1:18" ht="15" customHeight="1">
      <c r="A33" s="569" t="e">
        <f>VLOOKUP(D33,#REF!,12,FALSE)</f>
        <v>#REF!</v>
      </c>
      <c r="C33" s="1083">
        <f t="shared" si="0"/>
        <v>24</v>
      </c>
      <c r="D33" s="1084" t="s">
        <v>1048</v>
      </c>
      <c r="E33" s="1120">
        <v>2023</v>
      </c>
      <c r="F33" s="1120">
        <v>2023</v>
      </c>
      <c r="G33" s="1121">
        <v>40000</v>
      </c>
      <c r="H33" s="1121"/>
      <c r="I33" s="1122">
        <v>40000</v>
      </c>
      <c r="J33" s="1033"/>
      <c r="K33" s="1033"/>
      <c r="L33" s="1033"/>
      <c r="M33" s="1033"/>
      <c r="N33" s="1033"/>
      <c r="O33" s="1033"/>
      <c r="P33" s="1033"/>
      <c r="Q33" s="1033"/>
      <c r="R33" s="1034"/>
    </row>
    <row r="34" spans="1:18" ht="15" customHeight="1">
      <c r="A34" s="569" t="e">
        <f>VLOOKUP(D34,#REF!,12,FALSE)</f>
        <v>#REF!</v>
      </c>
      <c r="C34" s="1083">
        <f t="shared" si="0"/>
        <v>25</v>
      </c>
      <c r="D34" s="1084" t="s">
        <v>1017</v>
      </c>
      <c r="E34" s="1120">
        <v>2023</v>
      </c>
      <c r="F34" s="1120">
        <v>2023</v>
      </c>
      <c r="G34" s="1121">
        <v>25000</v>
      </c>
      <c r="H34" s="1121"/>
      <c r="I34" s="1122">
        <v>25000</v>
      </c>
      <c r="J34" s="1033"/>
      <c r="K34" s="1033"/>
      <c r="L34" s="1033"/>
      <c r="M34" s="1033"/>
      <c r="N34" s="1033"/>
      <c r="O34" s="1033"/>
      <c r="P34" s="1033"/>
      <c r="Q34" s="1033"/>
      <c r="R34" s="1034"/>
    </row>
    <row r="35" spans="1:18" ht="15" customHeight="1">
      <c r="A35" s="569" t="e">
        <f>VLOOKUP(D35,#REF!,12,FALSE)</f>
        <v>#REF!</v>
      </c>
      <c r="C35" s="1083">
        <f t="shared" si="0"/>
        <v>26</v>
      </c>
      <c r="D35" s="1084" t="s">
        <v>1016</v>
      </c>
      <c r="E35" s="1120">
        <v>2023</v>
      </c>
      <c r="F35" s="1120">
        <v>2023</v>
      </c>
      <c r="G35" s="1121">
        <v>10000</v>
      </c>
      <c r="H35" s="1121"/>
      <c r="I35" s="1122">
        <v>10000</v>
      </c>
      <c r="J35" s="1040"/>
      <c r="K35" s="1033"/>
      <c r="L35" s="1033"/>
      <c r="M35" s="1033"/>
      <c r="N35" s="1033"/>
      <c r="O35" s="1033"/>
      <c r="P35" s="1033"/>
      <c r="Q35" s="1033"/>
      <c r="R35" s="1034"/>
    </row>
    <row r="36" spans="1:18" ht="15" customHeight="1">
      <c r="A36" s="569" t="e">
        <f>VLOOKUP(D36,#REF!,12,FALSE)</f>
        <v>#REF!</v>
      </c>
      <c r="C36" s="1083">
        <f t="shared" si="0"/>
        <v>27</v>
      </c>
      <c r="D36" s="1084" t="s">
        <v>1054</v>
      </c>
      <c r="E36" s="1120">
        <v>2023</v>
      </c>
      <c r="F36" s="1120">
        <v>2023</v>
      </c>
      <c r="G36" s="1121">
        <v>0</v>
      </c>
      <c r="H36" s="1121"/>
      <c r="I36" s="1122">
        <v>0</v>
      </c>
      <c r="J36" s="1033"/>
      <c r="K36" s="1033"/>
      <c r="L36" s="1033"/>
      <c r="M36" s="1033"/>
      <c r="N36" s="1033"/>
      <c r="O36" s="1033"/>
      <c r="P36" s="1033"/>
      <c r="Q36" s="1033"/>
      <c r="R36" s="1034"/>
    </row>
    <row r="37" spans="1:18" ht="15" hidden="1" customHeight="1" outlineLevel="1">
      <c r="A37" s="569" t="e">
        <f>VLOOKUP(D37,#REF!,12,FALSE)</f>
        <v>#REF!</v>
      </c>
      <c r="C37" s="1083">
        <f t="shared" si="0"/>
        <v>28</v>
      </c>
      <c r="D37" s="1084"/>
      <c r="E37" s="1120">
        <v>2023</v>
      </c>
      <c r="F37" s="1120">
        <v>2023</v>
      </c>
      <c r="G37" s="1121">
        <v>0</v>
      </c>
      <c r="H37" s="1121"/>
      <c r="I37" s="1122">
        <v>0</v>
      </c>
      <c r="J37" s="1033"/>
      <c r="K37" s="1033"/>
      <c r="L37" s="1033"/>
      <c r="M37" s="1033"/>
      <c r="N37" s="1033"/>
      <c r="O37" s="1033"/>
      <c r="P37" s="1033"/>
      <c r="Q37" s="1033"/>
      <c r="R37" s="1034"/>
    </row>
    <row r="38" spans="1:18" ht="15" hidden="1" customHeight="1" outlineLevel="1">
      <c r="A38" s="569" t="e">
        <f>VLOOKUP(D38,#REF!,12,FALSE)</f>
        <v>#REF!</v>
      </c>
      <c r="C38" s="1083">
        <f t="shared" ref="C38:C63" si="1">C37+1</f>
        <v>29</v>
      </c>
      <c r="D38" s="1084"/>
      <c r="E38" s="1120">
        <v>2023</v>
      </c>
      <c r="F38" s="1120">
        <v>2023</v>
      </c>
      <c r="G38" s="1121">
        <v>0</v>
      </c>
      <c r="H38" s="1121"/>
      <c r="I38" s="1122">
        <v>0</v>
      </c>
      <c r="J38" s="1033"/>
      <c r="K38" s="1033"/>
      <c r="L38" s="1033"/>
      <c r="M38" s="1033"/>
      <c r="N38" s="1033"/>
      <c r="O38" s="1033"/>
      <c r="P38" s="1033"/>
      <c r="Q38" s="1033"/>
      <c r="R38" s="1034"/>
    </row>
    <row r="39" spans="1:18" ht="15" hidden="1" customHeight="1" outlineLevel="1">
      <c r="A39" s="569" t="e">
        <f>VLOOKUP(D39,#REF!,12,FALSE)</f>
        <v>#REF!</v>
      </c>
      <c r="C39" s="1083">
        <f t="shared" si="1"/>
        <v>30</v>
      </c>
      <c r="D39" s="1084"/>
      <c r="E39" s="1120">
        <v>2023</v>
      </c>
      <c r="F39" s="1120">
        <v>2023</v>
      </c>
      <c r="G39" s="1121">
        <v>0</v>
      </c>
      <c r="H39" s="1121"/>
      <c r="I39" s="1122">
        <v>0</v>
      </c>
      <c r="J39" s="1033"/>
      <c r="K39" s="1033"/>
      <c r="L39" s="1033"/>
      <c r="M39" s="1033"/>
      <c r="N39" s="1033"/>
      <c r="O39" s="1033"/>
      <c r="P39" s="1033"/>
      <c r="Q39" s="1033"/>
      <c r="R39" s="1034"/>
    </row>
    <row r="40" spans="1:18" ht="15" hidden="1" customHeight="1" outlineLevel="1">
      <c r="A40" s="569" t="e">
        <f>VLOOKUP(D40,#REF!,12,FALSE)</f>
        <v>#REF!</v>
      </c>
      <c r="C40" s="1083">
        <f t="shared" si="1"/>
        <v>31</v>
      </c>
      <c r="D40" s="1084"/>
      <c r="E40" s="1120">
        <v>2023</v>
      </c>
      <c r="F40" s="1120">
        <v>2023</v>
      </c>
      <c r="G40" s="1121">
        <v>0</v>
      </c>
      <c r="H40" s="1121"/>
      <c r="I40" s="1122">
        <v>0</v>
      </c>
      <c r="J40" s="1033"/>
      <c r="K40" s="1033"/>
      <c r="L40" s="1033"/>
      <c r="M40" s="1033"/>
      <c r="N40" s="1033"/>
      <c r="O40" s="1033"/>
      <c r="P40" s="1033"/>
      <c r="Q40" s="1033"/>
      <c r="R40" s="1034"/>
    </row>
    <row r="41" spans="1:18" ht="15" hidden="1" customHeight="1" outlineLevel="1">
      <c r="A41" s="569" t="e">
        <f>VLOOKUP(D41,#REF!,12,FALSE)</f>
        <v>#REF!</v>
      </c>
      <c r="C41" s="1083">
        <f t="shared" si="1"/>
        <v>32</v>
      </c>
      <c r="D41" s="1084"/>
      <c r="E41" s="1120">
        <v>2023</v>
      </c>
      <c r="F41" s="1120">
        <v>2023</v>
      </c>
      <c r="G41" s="1121">
        <v>0</v>
      </c>
      <c r="H41" s="1121"/>
      <c r="I41" s="1122">
        <v>0</v>
      </c>
      <c r="J41" s="1033"/>
      <c r="K41" s="1033"/>
      <c r="L41" s="1033"/>
      <c r="M41" s="1033"/>
      <c r="N41" s="1033"/>
      <c r="O41" s="1033"/>
      <c r="P41" s="1033"/>
      <c r="Q41" s="1033"/>
      <c r="R41" s="1034"/>
    </row>
    <row r="42" spans="1:18" ht="15" hidden="1" customHeight="1" outlineLevel="1">
      <c r="A42" s="569" t="e">
        <f>VLOOKUP(D42,#REF!,12,FALSE)</f>
        <v>#REF!</v>
      </c>
      <c r="C42" s="1083">
        <f t="shared" si="1"/>
        <v>33</v>
      </c>
      <c r="D42" s="1084"/>
      <c r="E42" s="1120">
        <v>2023</v>
      </c>
      <c r="F42" s="1120">
        <v>2023</v>
      </c>
      <c r="G42" s="1121">
        <v>0</v>
      </c>
      <c r="H42" s="1121"/>
      <c r="I42" s="1122">
        <v>0</v>
      </c>
      <c r="J42" s="1033"/>
      <c r="K42" s="1033"/>
      <c r="L42" s="1033"/>
      <c r="M42" s="1033"/>
      <c r="N42" s="1033"/>
      <c r="O42" s="1033"/>
      <c r="P42" s="1033"/>
      <c r="Q42" s="1033"/>
      <c r="R42" s="1034"/>
    </row>
    <row r="43" spans="1:18" ht="15" hidden="1" customHeight="1" outlineLevel="1">
      <c r="A43" s="569" t="e">
        <f>VLOOKUP(D43,#REF!,12,FALSE)</f>
        <v>#REF!</v>
      </c>
      <c r="C43" s="1083">
        <f t="shared" si="1"/>
        <v>34</v>
      </c>
      <c r="D43" s="1084"/>
      <c r="E43" s="1120">
        <v>2023</v>
      </c>
      <c r="F43" s="1120">
        <v>2023</v>
      </c>
      <c r="G43" s="1121">
        <v>0</v>
      </c>
      <c r="H43" s="1121"/>
      <c r="I43" s="1122">
        <v>0</v>
      </c>
      <c r="J43" s="1033"/>
      <c r="K43" s="1033"/>
      <c r="L43" s="1033"/>
      <c r="M43" s="1033"/>
      <c r="N43" s="1033"/>
      <c r="O43" s="1033"/>
      <c r="P43" s="1033"/>
      <c r="Q43" s="1033"/>
      <c r="R43" s="1034"/>
    </row>
    <row r="44" spans="1:18" ht="15" hidden="1" customHeight="1" outlineLevel="1">
      <c r="A44" s="569" t="e">
        <f>VLOOKUP(D44,#REF!,12,FALSE)</f>
        <v>#REF!</v>
      </c>
      <c r="C44" s="1083">
        <f t="shared" si="1"/>
        <v>35</v>
      </c>
      <c r="D44" s="1084"/>
      <c r="E44" s="1120">
        <v>2023</v>
      </c>
      <c r="F44" s="1120">
        <v>2023</v>
      </c>
      <c r="G44" s="1121">
        <v>0</v>
      </c>
      <c r="H44" s="1121"/>
      <c r="I44" s="1122">
        <v>0</v>
      </c>
      <c r="J44" s="1033"/>
      <c r="K44" s="1033"/>
      <c r="L44" s="1033"/>
      <c r="M44" s="1033"/>
      <c r="N44" s="1033"/>
      <c r="O44" s="1033"/>
      <c r="P44" s="1033"/>
      <c r="Q44" s="1033"/>
      <c r="R44" s="1034"/>
    </row>
    <row r="45" spans="1:18" ht="14.25" hidden="1" customHeight="1" outlineLevel="1">
      <c r="A45" s="569" t="e">
        <f>VLOOKUP(D45,#REF!,12,FALSE)</f>
        <v>#REF!</v>
      </c>
      <c r="B45" s="569" t="e">
        <f>VLOOKUP(E45,#REF!,12,FALSE)</f>
        <v>#REF!</v>
      </c>
      <c r="C45" s="1083">
        <f t="shared" si="1"/>
        <v>36</v>
      </c>
      <c r="D45" s="1084"/>
      <c r="E45" s="1120">
        <v>2023</v>
      </c>
      <c r="F45" s="1120">
        <v>2023</v>
      </c>
      <c r="G45" s="1121">
        <v>0</v>
      </c>
      <c r="H45" s="1121"/>
      <c r="I45" s="1122">
        <v>0</v>
      </c>
      <c r="J45" s="1033"/>
      <c r="K45" s="1033"/>
      <c r="L45" s="1033"/>
      <c r="M45" s="1033"/>
      <c r="N45" s="1033"/>
      <c r="O45" s="1033"/>
      <c r="P45" s="1033"/>
      <c r="Q45" s="1033"/>
      <c r="R45" s="1034"/>
    </row>
    <row r="46" spans="1:18" ht="15" hidden="1" customHeight="1" outlineLevel="1">
      <c r="A46" s="569" t="e">
        <f>VLOOKUP(D46,#REF!,12,FALSE)</f>
        <v>#REF!</v>
      </c>
      <c r="C46" s="1083">
        <f t="shared" si="1"/>
        <v>37</v>
      </c>
      <c r="D46" s="1084"/>
      <c r="E46" s="1120">
        <v>2023</v>
      </c>
      <c r="F46" s="1120">
        <v>2023</v>
      </c>
      <c r="G46" s="1121">
        <v>0</v>
      </c>
      <c r="H46" s="1121"/>
      <c r="I46" s="1122">
        <v>0</v>
      </c>
      <c r="J46" s="1033"/>
      <c r="K46" s="1033"/>
      <c r="L46" s="1033"/>
      <c r="M46" s="1033"/>
      <c r="N46" s="1033"/>
      <c r="O46" s="1033"/>
      <c r="P46" s="1033"/>
      <c r="Q46" s="1033"/>
      <c r="R46" s="1034"/>
    </row>
    <row r="47" spans="1:18" ht="15" hidden="1" customHeight="1" outlineLevel="1">
      <c r="B47" s="659" t="s">
        <v>51</v>
      </c>
      <c r="C47" s="1083">
        <f t="shared" si="1"/>
        <v>38</v>
      </c>
      <c r="D47" s="1084"/>
      <c r="E47" s="1120">
        <v>2023</v>
      </c>
      <c r="F47" s="1120">
        <v>2023</v>
      </c>
      <c r="G47" s="1121">
        <v>0</v>
      </c>
      <c r="H47" s="1121"/>
      <c r="I47" s="1122">
        <v>0</v>
      </c>
      <c r="J47" s="1033"/>
      <c r="K47" s="1033"/>
      <c r="L47" s="1033"/>
      <c r="M47" s="1033"/>
      <c r="N47" s="1033"/>
      <c r="O47" s="1033"/>
      <c r="P47" s="1033"/>
      <c r="Q47" s="1033"/>
      <c r="R47" s="1034"/>
    </row>
    <row r="48" spans="1:18" ht="15" hidden="1" customHeight="1" outlineLevel="1">
      <c r="B48" s="659" t="s">
        <v>44</v>
      </c>
      <c r="C48" s="1083">
        <f t="shared" si="1"/>
        <v>39</v>
      </c>
      <c r="D48" s="1084"/>
      <c r="E48" s="1120">
        <v>2023</v>
      </c>
      <c r="F48" s="1120">
        <v>2023</v>
      </c>
      <c r="G48" s="1121">
        <v>0</v>
      </c>
      <c r="H48" s="1121"/>
      <c r="I48" s="1122">
        <v>0</v>
      </c>
      <c r="J48" s="1033"/>
      <c r="K48" s="1033"/>
      <c r="L48" s="1033"/>
      <c r="M48" s="1033"/>
      <c r="N48" s="1033"/>
      <c r="O48" s="1033"/>
      <c r="P48" s="1033"/>
      <c r="Q48" s="1033"/>
      <c r="R48" s="1034"/>
    </row>
    <row r="49" spans="1:18" ht="15" hidden="1" customHeight="1" outlineLevel="1">
      <c r="B49" s="659" t="s">
        <v>46</v>
      </c>
      <c r="C49" s="1083">
        <f t="shared" si="1"/>
        <v>40</v>
      </c>
      <c r="D49" s="1084"/>
      <c r="E49" s="1120">
        <v>2023</v>
      </c>
      <c r="F49" s="1120">
        <v>2023</v>
      </c>
      <c r="G49" s="1121">
        <v>0</v>
      </c>
      <c r="H49" s="1121"/>
      <c r="I49" s="1122">
        <v>0</v>
      </c>
      <c r="J49" s="1033"/>
      <c r="K49" s="1033"/>
      <c r="L49" s="1033"/>
      <c r="M49" s="1033"/>
      <c r="N49" s="1033"/>
      <c r="O49" s="1033"/>
      <c r="P49" s="1033"/>
      <c r="Q49" s="1033"/>
      <c r="R49" s="1034"/>
    </row>
    <row r="50" spans="1:18" ht="15" hidden="1" customHeight="1" outlineLevel="1">
      <c r="B50" s="659" t="s">
        <v>50</v>
      </c>
      <c r="C50" s="1083">
        <f t="shared" si="1"/>
        <v>41</v>
      </c>
      <c r="D50" s="1084"/>
      <c r="E50" s="1120">
        <v>2023</v>
      </c>
      <c r="F50" s="1120">
        <v>2023</v>
      </c>
      <c r="G50" s="1121">
        <v>0</v>
      </c>
      <c r="H50" s="1121"/>
      <c r="I50" s="1122">
        <v>0</v>
      </c>
      <c r="J50" s="1033"/>
      <c r="K50" s="1033"/>
      <c r="L50" s="1033"/>
      <c r="M50" s="1033"/>
      <c r="N50" s="1033"/>
      <c r="O50" s="1033"/>
      <c r="P50" s="1033"/>
      <c r="Q50" s="1033"/>
      <c r="R50" s="1034"/>
    </row>
    <row r="51" spans="1:18" ht="15" hidden="1" customHeight="1" outlineLevel="1">
      <c r="B51" s="659" t="s">
        <v>52</v>
      </c>
      <c r="C51" s="1083">
        <f t="shared" si="1"/>
        <v>42</v>
      </c>
      <c r="D51" s="1084"/>
      <c r="E51" s="1120">
        <v>2023</v>
      </c>
      <c r="F51" s="1120">
        <v>2023</v>
      </c>
      <c r="G51" s="1121">
        <v>0</v>
      </c>
      <c r="H51" s="1121"/>
      <c r="I51" s="1122">
        <v>0</v>
      </c>
      <c r="J51" s="1033"/>
      <c r="K51" s="1033"/>
      <c r="L51" s="1033"/>
      <c r="M51" s="1033"/>
      <c r="N51" s="1033"/>
      <c r="O51" s="1033"/>
      <c r="P51" s="1033"/>
      <c r="Q51" s="1033"/>
      <c r="R51" s="1034"/>
    </row>
    <row r="52" spans="1:18" ht="15" hidden="1" customHeight="1" outlineLevel="1">
      <c r="B52" s="659" t="s">
        <v>41</v>
      </c>
      <c r="C52" s="1083">
        <f t="shared" si="1"/>
        <v>43</v>
      </c>
      <c r="D52" s="1084"/>
      <c r="E52" s="1120">
        <v>2023</v>
      </c>
      <c r="F52" s="1120">
        <v>2023</v>
      </c>
      <c r="G52" s="1121">
        <v>0</v>
      </c>
      <c r="H52" s="1121"/>
      <c r="I52" s="1122">
        <v>0</v>
      </c>
      <c r="J52" s="1033"/>
      <c r="K52" s="1033"/>
      <c r="L52" s="1033"/>
      <c r="M52" s="1033"/>
      <c r="N52" s="1033"/>
      <c r="O52" s="1033"/>
      <c r="P52" s="1033"/>
      <c r="Q52" s="1033"/>
      <c r="R52" s="1034"/>
    </row>
    <row r="53" spans="1:18" ht="15" hidden="1" customHeight="1" outlineLevel="1">
      <c r="B53" s="659" t="s">
        <v>49</v>
      </c>
      <c r="C53" s="1083">
        <f t="shared" si="1"/>
        <v>44</v>
      </c>
      <c r="D53" s="1084"/>
      <c r="E53" s="1120">
        <v>2023</v>
      </c>
      <c r="F53" s="1120">
        <v>2023</v>
      </c>
      <c r="G53" s="1121">
        <v>0</v>
      </c>
      <c r="H53" s="1121"/>
      <c r="I53" s="1122">
        <v>0</v>
      </c>
      <c r="J53" s="1033"/>
      <c r="K53" s="1033"/>
      <c r="L53" s="1033"/>
      <c r="M53" s="1033"/>
      <c r="N53" s="1033"/>
      <c r="O53" s="1033"/>
      <c r="P53" s="1033"/>
      <c r="Q53" s="1033"/>
      <c r="R53" s="1034"/>
    </row>
    <row r="54" spans="1:18" ht="14.25" hidden="1" customHeight="1" outlineLevel="1">
      <c r="A54" s="569" t="e">
        <f>VLOOKUP(D54,#REF!,12,FALSE)</f>
        <v>#REF!</v>
      </c>
      <c r="B54" s="569" t="e">
        <f>VLOOKUP(E54,#REF!,12,FALSE)</f>
        <v>#REF!</v>
      </c>
      <c r="C54" s="1083">
        <f t="shared" si="1"/>
        <v>45</v>
      </c>
      <c r="D54" s="1084"/>
      <c r="E54" s="1120">
        <v>2023</v>
      </c>
      <c r="F54" s="1120">
        <v>2023</v>
      </c>
      <c r="G54" s="1121">
        <v>0</v>
      </c>
      <c r="H54" s="1121"/>
      <c r="I54" s="1122">
        <v>0</v>
      </c>
      <c r="J54" s="1033"/>
      <c r="K54" s="1033"/>
      <c r="L54" s="1033"/>
      <c r="M54" s="1033"/>
      <c r="N54" s="1033"/>
      <c r="O54" s="1033"/>
      <c r="P54" s="1033"/>
      <c r="Q54" s="1033"/>
      <c r="R54" s="1034"/>
    </row>
    <row r="55" spans="1:18" ht="15" hidden="1" customHeight="1" outlineLevel="1">
      <c r="A55" s="569" t="e">
        <f>VLOOKUP(D55,#REF!,12,FALSE)</f>
        <v>#REF!</v>
      </c>
      <c r="C55" s="1083">
        <f t="shared" si="1"/>
        <v>46</v>
      </c>
      <c r="D55" s="1084"/>
      <c r="E55" s="1120">
        <v>2023</v>
      </c>
      <c r="F55" s="1120">
        <v>2023</v>
      </c>
      <c r="G55" s="1121">
        <v>0</v>
      </c>
      <c r="H55" s="1121"/>
      <c r="I55" s="1122">
        <v>0</v>
      </c>
      <c r="J55" s="1040"/>
      <c r="K55" s="1033"/>
      <c r="L55" s="1033"/>
      <c r="M55" s="1033"/>
      <c r="N55" s="1033"/>
      <c r="O55" s="1033"/>
      <c r="P55" s="1033"/>
      <c r="Q55" s="1033"/>
      <c r="R55" s="1034"/>
    </row>
    <row r="56" spans="1:18" ht="15" hidden="1" customHeight="1" outlineLevel="1">
      <c r="B56" s="659" t="s">
        <v>51</v>
      </c>
      <c r="C56" s="1083">
        <f t="shared" si="1"/>
        <v>47</v>
      </c>
      <c r="D56" s="1084"/>
      <c r="E56" s="1120">
        <v>2023</v>
      </c>
      <c r="F56" s="1120">
        <v>2023</v>
      </c>
      <c r="G56" s="1121">
        <v>0</v>
      </c>
      <c r="H56" s="1121"/>
      <c r="I56" s="1122">
        <v>0</v>
      </c>
      <c r="J56" s="1033"/>
      <c r="K56" s="1033"/>
      <c r="L56" s="1033"/>
      <c r="M56" s="1033"/>
      <c r="N56" s="1033"/>
      <c r="O56" s="1033"/>
      <c r="P56" s="1033"/>
      <c r="Q56" s="1033"/>
      <c r="R56" s="1034"/>
    </row>
    <row r="57" spans="1:18" ht="15" hidden="1" customHeight="1" outlineLevel="1">
      <c r="B57" s="659" t="s">
        <v>44</v>
      </c>
      <c r="C57" s="1083">
        <f t="shared" si="1"/>
        <v>48</v>
      </c>
      <c r="D57" s="1084"/>
      <c r="E57" s="1120">
        <v>2023</v>
      </c>
      <c r="F57" s="1120">
        <v>2023</v>
      </c>
      <c r="G57" s="1121">
        <v>0</v>
      </c>
      <c r="H57" s="1121"/>
      <c r="I57" s="1122">
        <v>0</v>
      </c>
      <c r="J57" s="1033"/>
      <c r="K57" s="1033"/>
      <c r="L57" s="1033"/>
      <c r="M57" s="1033"/>
      <c r="N57" s="1033"/>
      <c r="O57" s="1033"/>
      <c r="P57" s="1033"/>
      <c r="Q57" s="1033"/>
      <c r="R57" s="1034"/>
    </row>
    <row r="58" spans="1:18" ht="15" hidden="1" customHeight="1" outlineLevel="1">
      <c r="B58" s="659" t="s">
        <v>46</v>
      </c>
      <c r="C58" s="1083">
        <f t="shared" si="1"/>
        <v>49</v>
      </c>
      <c r="D58" s="1084"/>
      <c r="E58" s="1120">
        <v>2023</v>
      </c>
      <c r="F58" s="1120">
        <v>2023</v>
      </c>
      <c r="G58" s="1121">
        <v>0</v>
      </c>
      <c r="H58" s="1121"/>
      <c r="I58" s="1122">
        <v>0</v>
      </c>
      <c r="J58" s="1033"/>
      <c r="K58" s="1033"/>
      <c r="L58" s="1033"/>
      <c r="M58" s="1033"/>
      <c r="N58" s="1033"/>
      <c r="O58" s="1033"/>
      <c r="P58" s="1033"/>
      <c r="Q58" s="1033"/>
      <c r="R58" s="1034"/>
    </row>
    <row r="59" spans="1:18" ht="15" hidden="1" customHeight="1" outlineLevel="1">
      <c r="B59" s="659" t="s">
        <v>50</v>
      </c>
      <c r="C59" s="1083">
        <f t="shared" si="1"/>
        <v>50</v>
      </c>
      <c r="D59" s="1084"/>
      <c r="E59" s="1120">
        <v>2023</v>
      </c>
      <c r="F59" s="1120">
        <v>2023</v>
      </c>
      <c r="G59" s="1121">
        <v>0</v>
      </c>
      <c r="H59" s="1121"/>
      <c r="I59" s="1122">
        <v>0</v>
      </c>
      <c r="J59" s="1033"/>
      <c r="K59" s="1033"/>
      <c r="L59" s="1033"/>
      <c r="M59" s="1033"/>
      <c r="N59" s="1033"/>
      <c r="O59" s="1033"/>
      <c r="P59" s="1033"/>
      <c r="Q59" s="1033"/>
      <c r="R59" s="1034"/>
    </row>
    <row r="60" spans="1:18" ht="15" hidden="1" customHeight="1" outlineLevel="1">
      <c r="B60" s="659" t="s">
        <v>52</v>
      </c>
      <c r="C60" s="1083">
        <f t="shared" si="1"/>
        <v>51</v>
      </c>
      <c r="D60" s="1084"/>
      <c r="E60" s="1120">
        <v>2023</v>
      </c>
      <c r="F60" s="1120">
        <v>2023</v>
      </c>
      <c r="G60" s="1121">
        <v>0</v>
      </c>
      <c r="H60" s="1121"/>
      <c r="I60" s="1122">
        <v>0</v>
      </c>
      <c r="J60" s="1033"/>
      <c r="K60" s="1033"/>
      <c r="L60" s="1033"/>
      <c r="M60" s="1033"/>
      <c r="N60" s="1033"/>
      <c r="O60" s="1033"/>
      <c r="P60" s="1033"/>
      <c r="Q60" s="1033"/>
      <c r="R60" s="1034"/>
    </row>
    <row r="61" spans="1:18" ht="15" hidden="1" customHeight="1" outlineLevel="1">
      <c r="B61" s="659" t="s">
        <v>41</v>
      </c>
      <c r="C61" s="1083">
        <f t="shared" si="1"/>
        <v>52</v>
      </c>
      <c r="D61" s="1084"/>
      <c r="E61" s="1120">
        <v>2023</v>
      </c>
      <c r="F61" s="1120">
        <v>2023</v>
      </c>
      <c r="G61" s="1121">
        <v>0</v>
      </c>
      <c r="H61" s="1121"/>
      <c r="I61" s="1122">
        <v>0</v>
      </c>
      <c r="J61" s="1040"/>
      <c r="K61" s="1040"/>
      <c r="L61" s="1033"/>
      <c r="M61" s="1033"/>
      <c r="N61" s="1033"/>
      <c r="O61" s="1033"/>
      <c r="P61" s="1033"/>
      <c r="Q61" s="1033"/>
      <c r="R61" s="1034"/>
    </row>
    <row r="62" spans="1:18" ht="15" hidden="1" customHeight="1" outlineLevel="1">
      <c r="B62" s="659" t="s">
        <v>49</v>
      </c>
      <c r="C62" s="1083">
        <f t="shared" si="1"/>
        <v>53</v>
      </c>
      <c r="D62" s="1084"/>
      <c r="E62" s="1120">
        <v>2023</v>
      </c>
      <c r="F62" s="1120">
        <v>2023</v>
      </c>
      <c r="G62" s="1121">
        <v>0</v>
      </c>
      <c r="H62" s="1121"/>
      <c r="I62" s="1122">
        <v>0</v>
      </c>
      <c r="J62" s="1033"/>
      <c r="K62" s="1033"/>
      <c r="L62" s="1033"/>
      <c r="M62" s="1033"/>
      <c r="N62" s="1033"/>
      <c r="O62" s="1033"/>
      <c r="P62" s="1033"/>
      <c r="Q62" s="1033"/>
      <c r="R62" s="1034"/>
    </row>
    <row r="63" spans="1:18" ht="15" hidden="1" customHeight="1" outlineLevel="1">
      <c r="B63" s="722"/>
      <c r="C63" s="1083">
        <f t="shared" si="1"/>
        <v>54</v>
      </c>
      <c r="D63" s="1086"/>
      <c r="E63" s="1120">
        <v>2023</v>
      </c>
      <c r="F63" s="1120">
        <v>2023</v>
      </c>
      <c r="G63" s="1121">
        <v>0</v>
      </c>
      <c r="H63" s="1121"/>
      <c r="I63" s="1122">
        <v>0</v>
      </c>
      <c r="J63" s="1125"/>
      <c r="K63" s="1125"/>
      <c r="L63" s="1125"/>
      <c r="M63" s="1125"/>
      <c r="N63" s="1125"/>
      <c r="O63" s="1125"/>
      <c r="P63" s="1125"/>
      <c r="Q63" s="1125"/>
      <c r="R63" s="1126"/>
    </row>
    <row r="64" spans="1:18" ht="13.5" collapsed="1" thickBot="1">
      <c r="C64" s="1087"/>
      <c r="D64" s="1127" t="s">
        <v>104</v>
      </c>
      <c r="E64" s="1128"/>
      <c r="F64" s="1128"/>
      <c r="G64" s="1129">
        <v>44382637.067999996</v>
      </c>
      <c r="H64" s="1129">
        <v>0</v>
      </c>
      <c r="I64" s="1129">
        <v>44382637.067999996</v>
      </c>
      <c r="J64" s="1129">
        <v>0</v>
      </c>
      <c r="K64" s="1129">
        <v>0</v>
      </c>
      <c r="L64" s="1129">
        <v>0</v>
      </c>
      <c r="M64" s="1129">
        <v>0</v>
      </c>
      <c r="N64" s="1129">
        <v>0</v>
      </c>
      <c r="O64" s="1129">
        <v>0</v>
      </c>
      <c r="P64" s="1129">
        <v>0</v>
      </c>
      <c r="Q64" s="1129">
        <v>0</v>
      </c>
      <c r="R64" s="1130">
        <v>0</v>
      </c>
    </row>
    <row r="65" spans="3:18">
      <c r="C65" s="1088"/>
      <c r="D65" s="1089"/>
      <c r="E65" s="1090"/>
      <c r="F65" s="1090"/>
      <c r="G65" s="1091"/>
      <c r="H65" s="1091"/>
      <c r="I65" s="1091"/>
      <c r="J65" s="1091"/>
      <c r="K65" s="1091"/>
      <c r="L65" s="1091"/>
      <c r="M65" s="1091"/>
      <c r="N65" s="1091"/>
      <c r="O65" s="1091"/>
      <c r="P65" s="1091"/>
      <c r="Q65" s="1091"/>
      <c r="R65" s="1092"/>
    </row>
    <row r="66" spans="3:18">
      <c r="C66" s="1093" t="s">
        <v>1071</v>
      </c>
      <c r="D66" s="1089"/>
      <c r="E66" s="1090"/>
      <c r="F66" s="1090"/>
      <c r="G66" s="1091"/>
      <c r="H66" s="1091"/>
      <c r="I66" s="1091"/>
      <c r="J66" s="1091"/>
      <c r="K66" s="1091"/>
      <c r="L66" s="1091"/>
      <c r="M66" s="1091"/>
      <c r="N66" s="1091"/>
      <c r="O66" s="1091"/>
      <c r="P66" s="1091"/>
      <c r="Q66" s="1091"/>
      <c r="R66" s="1092"/>
    </row>
    <row r="67" spans="3:18" ht="13.5" thickBot="1">
      <c r="C67" s="1088"/>
      <c r="D67" s="1089"/>
      <c r="E67" s="1090"/>
      <c r="F67" s="1090"/>
      <c r="G67" s="1091"/>
      <c r="H67" s="1091"/>
      <c r="I67" s="1091"/>
      <c r="J67" s="1091"/>
      <c r="K67" s="1091"/>
      <c r="L67" s="1091"/>
      <c r="M67" s="1091"/>
      <c r="N67" s="1091"/>
      <c r="O67" s="1091"/>
      <c r="P67" s="1091"/>
      <c r="Q67" s="1091"/>
      <c r="R67" s="1092"/>
    </row>
    <row r="68" spans="3:18" ht="13.5" thickBot="1">
      <c r="C68" s="1131" t="s">
        <v>684</v>
      </c>
      <c r="D68" s="1132"/>
      <c r="E68" s="1132"/>
      <c r="F68" s="1132"/>
      <c r="G68" s="1132"/>
      <c r="H68" s="1132"/>
      <c r="I68" s="1132"/>
      <c r="J68" s="1132"/>
      <c r="K68" s="1132"/>
      <c r="L68" s="1132"/>
      <c r="M68" s="1132"/>
      <c r="N68" s="1132"/>
      <c r="O68" s="1132"/>
      <c r="P68" s="1132"/>
      <c r="Q68" s="1132"/>
      <c r="R68" s="1133"/>
    </row>
    <row r="69" spans="3:18">
      <c r="C69" s="870" t="s">
        <v>677</v>
      </c>
      <c r="D69" s="870"/>
      <c r="E69" s="1094" t="s">
        <v>678</v>
      </c>
      <c r="F69" s="1094" t="s">
        <v>679</v>
      </c>
      <c r="G69" s="1095" t="s">
        <v>680</v>
      </c>
      <c r="H69" s="1094" t="str">
        <f>H8</f>
        <v>Ejecución prevista hasta 31/12/2022 (€)</v>
      </c>
      <c r="I69" s="870" t="s">
        <v>681</v>
      </c>
      <c r="J69" s="870"/>
      <c r="K69" s="870"/>
      <c r="L69" s="870"/>
      <c r="M69" s="870"/>
      <c r="N69" s="1096" t="str">
        <f>N8</f>
        <v>Previsión de importes comprometidos a 31/12/2022 (€)</v>
      </c>
      <c r="O69" s="1096"/>
      <c r="P69" s="1096"/>
      <c r="Q69" s="1096"/>
      <c r="R69" s="1096"/>
    </row>
    <row r="70" spans="3:18" ht="13.5" thickBot="1">
      <c r="C70" s="1097" t="s">
        <v>682</v>
      </c>
      <c r="D70" s="1098" t="s">
        <v>683</v>
      </c>
      <c r="E70" s="876"/>
      <c r="F70" s="876"/>
      <c r="G70" s="877"/>
      <c r="H70" s="876"/>
      <c r="I70" s="1097">
        <f>I9</f>
        <v>2023</v>
      </c>
      <c r="J70" s="1097">
        <f t="shared" ref="J70:R70" si="2">J9</f>
        <v>2024</v>
      </c>
      <c r="K70" s="1097">
        <f t="shared" si="2"/>
        <v>2025</v>
      </c>
      <c r="L70" s="1097">
        <f t="shared" si="2"/>
        <v>2026</v>
      </c>
      <c r="M70" s="1097" t="str">
        <f t="shared" si="2"/>
        <v>Resto</v>
      </c>
      <c r="N70" s="1097">
        <f t="shared" si="2"/>
        <v>2023</v>
      </c>
      <c r="O70" s="1097">
        <f t="shared" si="2"/>
        <v>2024</v>
      </c>
      <c r="P70" s="1097">
        <f t="shared" si="2"/>
        <v>2025</v>
      </c>
      <c r="Q70" s="1097">
        <f t="shared" si="2"/>
        <v>2026</v>
      </c>
      <c r="R70" s="1097" t="str">
        <f t="shared" si="2"/>
        <v>Resto</v>
      </c>
    </row>
    <row r="71" spans="3:18">
      <c r="C71" s="1099"/>
      <c r="D71" s="1100"/>
      <c r="E71" s="1099"/>
      <c r="F71" s="1099"/>
      <c r="G71" s="1000"/>
      <c r="H71" s="1000"/>
      <c r="I71" s="1000"/>
      <c r="J71" s="1000"/>
      <c r="K71" s="1000"/>
      <c r="L71" s="1000"/>
      <c r="M71" s="1000"/>
      <c r="N71" s="1000"/>
      <c r="O71" s="1000"/>
      <c r="P71" s="1000"/>
      <c r="Q71" s="1000"/>
      <c r="R71" s="1000"/>
    </row>
    <row r="72" spans="3:18">
      <c r="C72" s="1101"/>
      <c r="D72" s="1102"/>
      <c r="E72" s="1101"/>
      <c r="F72" s="1101"/>
      <c r="G72" s="882"/>
      <c r="H72" s="882"/>
      <c r="I72" s="882"/>
      <c r="J72" s="882"/>
      <c r="K72" s="882"/>
      <c r="L72" s="882"/>
      <c r="M72" s="882"/>
      <c r="N72" s="882"/>
      <c r="O72" s="882"/>
      <c r="P72" s="882"/>
      <c r="Q72" s="882"/>
      <c r="R72" s="882"/>
    </row>
    <row r="73" spans="3:18">
      <c r="C73" s="1101"/>
      <c r="D73" s="1102"/>
      <c r="E73" s="1101"/>
      <c r="F73" s="1101"/>
      <c r="G73" s="882"/>
      <c r="H73" s="882"/>
      <c r="I73" s="882"/>
      <c r="J73" s="882"/>
      <c r="K73" s="882"/>
      <c r="L73" s="882"/>
      <c r="M73" s="882"/>
      <c r="N73" s="882"/>
      <c r="O73" s="882"/>
      <c r="P73" s="882"/>
      <c r="Q73" s="882"/>
      <c r="R73" s="882"/>
    </row>
    <row r="74" spans="3:18">
      <c r="C74" s="1101"/>
      <c r="D74" s="1102"/>
      <c r="E74" s="1101"/>
      <c r="F74" s="1101"/>
      <c r="G74" s="882"/>
      <c r="H74" s="882"/>
      <c r="I74" s="882"/>
      <c r="J74" s="882"/>
      <c r="K74" s="882"/>
      <c r="L74" s="882"/>
      <c r="M74" s="882"/>
      <c r="N74" s="882"/>
      <c r="O74" s="882"/>
      <c r="P74" s="882"/>
      <c r="Q74" s="882"/>
      <c r="R74" s="882"/>
    </row>
    <row r="75" spans="3:18">
      <c r="C75" s="1101"/>
      <c r="D75" s="1102"/>
      <c r="E75" s="1101"/>
      <c r="F75" s="1101"/>
      <c r="G75" s="882"/>
      <c r="H75" s="882"/>
      <c r="I75" s="882"/>
      <c r="J75" s="882"/>
      <c r="K75" s="882"/>
      <c r="L75" s="882"/>
      <c r="M75" s="882"/>
      <c r="N75" s="882"/>
      <c r="O75" s="882"/>
      <c r="P75" s="882"/>
      <c r="Q75" s="882"/>
      <c r="R75" s="882"/>
    </row>
    <row r="76" spans="3:18">
      <c r="C76" s="1101"/>
      <c r="D76" s="1102"/>
      <c r="E76" s="1101"/>
      <c r="F76" s="1101"/>
      <c r="G76" s="882"/>
      <c r="H76" s="882"/>
      <c r="I76" s="882"/>
      <c r="J76" s="882"/>
      <c r="K76" s="882"/>
      <c r="L76" s="882"/>
      <c r="M76" s="882"/>
      <c r="N76" s="882"/>
      <c r="O76" s="882"/>
      <c r="P76" s="882"/>
      <c r="Q76" s="882"/>
      <c r="R76" s="882"/>
    </row>
    <row r="77" spans="3:18">
      <c r="C77" s="1101"/>
      <c r="D77" s="1102"/>
      <c r="E77" s="1101"/>
      <c r="F77" s="1101"/>
      <c r="G77" s="882"/>
      <c r="H77" s="882"/>
      <c r="I77" s="882"/>
      <c r="J77" s="882"/>
      <c r="K77" s="882"/>
      <c r="L77" s="882"/>
      <c r="M77" s="882"/>
      <c r="N77" s="882"/>
      <c r="O77" s="882"/>
      <c r="P77" s="882"/>
      <c r="Q77" s="882"/>
      <c r="R77" s="882"/>
    </row>
    <row r="78" spans="3:18">
      <c r="C78" s="1101"/>
      <c r="D78" s="1102"/>
      <c r="E78" s="1101"/>
      <c r="F78" s="1101"/>
      <c r="G78" s="882"/>
      <c r="H78" s="882"/>
      <c r="I78" s="882"/>
      <c r="J78" s="882"/>
      <c r="K78" s="882"/>
      <c r="L78" s="882"/>
      <c r="M78" s="882"/>
      <c r="N78" s="882"/>
      <c r="O78" s="882"/>
      <c r="P78" s="882"/>
      <c r="Q78" s="882"/>
      <c r="R78" s="882"/>
    </row>
    <row r="79" spans="3:18">
      <c r="C79" s="1101"/>
      <c r="D79" s="1102"/>
      <c r="E79" s="1101"/>
      <c r="F79" s="1101"/>
      <c r="G79" s="882"/>
      <c r="H79" s="882"/>
      <c r="I79" s="882"/>
      <c r="J79" s="882"/>
      <c r="K79" s="882"/>
      <c r="L79" s="882"/>
      <c r="M79" s="882"/>
      <c r="N79" s="882"/>
      <c r="O79" s="882"/>
      <c r="P79" s="882"/>
      <c r="Q79" s="882"/>
      <c r="R79" s="882"/>
    </row>
    <row r="80" spans="3:18">
      <c r="C80" s="1101"/>
      <c r="D80" s="1102"/>
      <c r="E80" s="1101"/>
      <c r="F80" s="1101"/>
      <c r="G80" s="882"/>
      <c r="H80" s="882"/>
      <c r="I80" s="882"/>
      <c r="J80" s="882"/>
      <c r="K80" s="882"/>
      <c r="L80" s="882"/>
      <c r="M80" s="882"/>
      <c r="N80" s="882"/>
      <c r="O80" s="882"/>
      <c r="P80" s="882"/>
      <c r="Q80" s="882"/>
      <c r="R80" s="882"/>
    </row>
    <row r="81" spans="3:18">
      <c r="C81" s="1103"/>
      <c r="D81" s="1104"/>
      <c r="E81" s="1104"/>
      <c r="F81" s="1104"/>
      <c r="G81" s="1104"/>
      <c r="H81" s="1104"/>
      <c r="I81" s="1104"/>
      <c r="J81" s="1104"/>
      <c r="K81" s="1104"/>
      <c r="L81" s="1104"/>
      <c r="M81" s="1104"/>
      <c r="N81" s="1104"/>
      <c r="O81" s="1104"/>
      <c r="P81" s="1104"/>
      <c r="Q81" s="1104"/>
      <c r="R81" s="1104"/>
    </row>
  </sheetData>
  <sortState ref="D10:R63">
    <sortCondition descending="1" ref="G10:G63"/>
  </sortState>
  <mergeCells count="24">
    <mergeCell ref="C68:R68"/>
    <mergeCell ref="C69:D69"/>
    <mergeCell ref="E69:E70"/>
    <mergeCell ref="F69:F70"/>
    <mergeCell ref="G69:G70"/>
    <mergeCell ref="H69:H70"/>
    <mergeCell ref="I69:M69"/>
    <mergeCell ref="N69:R69"/>
    <mergeCell ref="C6:R6"/>
    <mergeCell ref="C7:R7"/>
    <mergeCell ref="C8:D8"/>
    <mergeCell ref="E8:E9"/>
    <mergeCell ref="F8:F9"/>
    <mergeCell ref="G8:G9"/>
    <mergeCell ref="H8:H9"/>
    <mergeCell ref="I8:M8"/>
    <mergeCell ref="N8:R8"/>
    <mergeCell ref="D5:O5"/>
    <mergeCell ref="Q5:R5"/>
    <mergeCell ref="C2:R2"/>
    <mergeCell ref="C3:P3"/>
    <mergeCell ref="Q3:R3"/>
    <mergeCell ref="C4:P4"/>
    <mergeCell ref="Q4:R4"/>
  </mergeCells>
  <pageMargins left="0.70866141732283472" right="0.70866141732283472" top="0.74803149606299213" bottom="0.74803149606299213" header="0.31496062992125984" footer="0.31496062992125984"/>
  <pageSetup paperSize="9" scale="45" orientation="landscape" r:id="rId1"/>
  <drawing r:id="rId2"/>
</worksheet>
</file>

<file path=xl/worksheets/sheet9.xml><?xml version="1.0" encoding="utf-8"?>
<worksheet xmlns="http://schemas.openxmlformats.org/spreadsheetml/2006/main" xmlns:r="http://schemas.openxmlformats.org/officeDocument/2006/relationships">
  <sheetPr>
    <tabColor rgb="FF92D050"/>
    <pageSetUpPr fitToPage="1"/>
  </sheetPr>
  <dimension ref="A1:I74"/>
  <sheetViews>
    <sheetView topLeftCell="A2" zoomScaleNormal="100" zoomScaleSheetLayoutView="115" workbookViewId="0">
      <selection activeCell="K35" sqref="K35"/>
    </sheetView>
  </sheetViews>
  <sheetFormatPr baseColWidth="10" defaultColWidth="11.42578125" defaultRowHeight="12.75" outlineLevelRow="1"/>
  <cols>
    <col min="1" max="1" width="19.42578125" style="425" customWidth="1"/>
    <col min="2" max="2" width="65.5703125" style="425" customWidth="1"/>
    <col min="3" max="9" width="18.85546875" style="425" customWidth="1"/>
    <col min="10" max="16384" width="11.42578125" style="425"/>
  </cols>
  <sheetData>
    <row r="1" spans="1:9" ht="60" customHeight="1" thickBot="1"/>
    <row r="2" spans="1:9" ht="13.5" thickBot="1">
      <c r="A2" s="1158" t="s">
        <v>685</v>
      </c>
      <c r="B2" s="1159"/>
      <c r="C2" s="1159"/>
      <c r="D2" s="1159"/>
      <c r="E2" s="1159"/>
      <c r="F2" s="1159"/>
      <c r="G2" s="1159"/>
      <c r="H2" s="1159"/>
      <c r="I2" s="1160"/>
    </row>
    <row r="3" spans="1:9" ht="13.5" thickBot="1">
      <c r="A3" s="1161" t="s">
        <v>1</v>
      </c>
      <c r="B3" s="1162"/>
      <c r="C3" s="1162"/>
      <c r="D3" s="1162"/>
      <c r="E3" s="1162"/>
      <c r="F3" s="1162"/>
      <c r="G3" s="1162"/>
      <c r="H3" s="1163"/>
      <c r="I3" s="868" t="s">
        <v>2</v>
      </c>
    </row>
    <row r="4" spans="1:9" ht="13.5" thickBot="1">
      <c r="A4" s="1164" t="s">
        <v>275</v>
      </c>
      <c r="B4" s="1165"/>
      <c r="C4" s="1165"/>
      <c r="D4" s="1165"/>
      <c r="E4" s="1165"/>
      <c r="F4" s="1165"/>
      <c r="G4" s="1165"/>
      <c r="H4" s="1166"/>
      <c r="I4" s="914">
        <v>2023</v>
      </c>
    </row>
    <row r="5" spans="1:9" ht="13.5" thickBot="1">
      <c r="A5" s="1109" t="s">
        <v>671</v>
      </c>
      <c r="B5" s="1167" t="s">
        <v>672</v>
      </c>
      <c r="C5" s="1167"/>
      <c r="D5" s="1167"/>
      <c r="E5" s="1167"/>
      <c r="F5" s="1104"/>
      <c r="G5" s="1109" t="s">
        <v>673</v>
      </c>
      <c r="H5" s="1168"/>
      <c r="I5" s="1169"/>
    </row>
    <row r="6" spans="1:9">
      <c r="A6" s="1170" t="s">
        <v>675</v>
      </c>
      <c r="B6" s="1171"/>
      <c r="C6" s="1171"/>
      <c r="D6" s="1171"/>
      <c r="E6" s="1171"/>
      <c r="F6" s="1171"/>
      <c r="G6" s="1171"/>
      <c r="H6" s="1171"/>
      <c r="I6" s="1172"/>
    </row>
    <row r="7" spans="1:9" ht="13.5" thickBot="1">
      <c r="A7" s="1173" t="str">
        <f>"INVERSIÓN A REALIZAR EN "&amp;I4&amp;" Y SU FINANCIACIÓN"</f>
        <v>INVERSIÓN A REALIZAR EN 2023 Y SU FINANCIACIÓN</v>
      </c>
      <c r="B7" s="1174"/>
      <c r="C7" s="1174"/>
      <c r="D7" s="1174"/>
      <c r="E7" s="1174"/>
      <c r="F7" s="1174"/>
      <c r="G7" s="1174"/>
      <c r="H7" s="1175"/>
      <c r="I7" s="1176"/>
    </row>
    <row r="8" spans="1:9">
      <c r="A8" s="1177" t="s">
        <v>686</v>
      </c>
      <c r="B8" s="1134" t="s">
        <v>687</v>
      </c>
      <c r="C8" s="1135" t="s">
        <v>1072</v>
      </c>
      <c r="D8" s="1136" t="s">
        <v>688</v>
      </c>
      <c r="E8" s="1136"/>
      <c r="F8" s="1136"/>
      <c r="G8" s="1136"/>
      <c r="H8" s="1137"/>
      <c r="I8" s="1138"/>
    </row>
    <row r="9" spans="1:9">
      <c r="A9" s="1178"/>
      <c r="B9" s="1139"/>
      <c r="C9" s="1140"/>
      <c r="D9" s="1141" t="s">
        <v>689</v>
      </c>
      <c r="E9" s="1141" t="s">
        <v>690</v>
      </c>
      <c r="F9" s="1140" t="s">
        <v>691</v>
      </c>
      <c r="G9" s="1140"/>
      <c r="H9" s="1142"/>
      <c r="I9" s="1143"/>
    </row>
    <row r="10" spans="1:9" ht="38.25">
      <c r="A10" s="1178"/>
      <c r="B10" s="1139"/>
      <c r="C10" s="1140"/>
      <c r="D10" s="1141"/>
      <c r="E10" s="1141"/>
      <c r="F10" s="1144" t="s">
        <v>692</v>
      </c>
      <c r="G10" s="1144" t="s">
        <v>693</v>
      </c>
      <c r="H10" s="1145" t="s">
        <v>1057</v>
      </c>
      <c r="I10" s="1146" t="s">
        <v>694</v>
      </c>
    </row>
    <row r="11" spans="1:9">
      <c r="A11" s="1156">
        <v>622</v>
      </c>
      <c r="B11" s="1084" t="str">
        <f>'5. Anexo inversiones'!D10</f>
        <v>Paso Inferior Santa Catalina</v>
      </c>
      <c r="C11" s="1147">
        <v>10404800.232999999</v>
      </c>
      <c r="D11" s="1148">
        <v>0</v>
      </c>
      <c r="E11" s="1149"/>
      <c r="F11" s="1148"/>
      <c r="G11" s="1148"/>
      <c r="H11" s="1150"/>
      <c r="I11" s="1151">
        <v>10404800.232999999</v>
      </c>
    </row>
    <row r="12" spans="1:9" ht="15" customHeight="1">
      <c r="A12" s="1156">
        <v>634</v>
      </c>
      <c r="B12" s="1084" t="str">
        <f>'5. Anexo inversiones'!D11</f>
        <v>Guaguas 18 metros - 20 unidades</v>
      </c>
      <c r="C12" s="1147">
        <v>7898500</v>
      </c>
      <c r="D12" s="1148">
        <v>0</v>
      </c>
      <c r="E12" s="1149"/>
      <c r="F12" s="1148">
        <v>7898500</v>
      </c>
      <c r="G12" s="1148"/>
      <c r="H12" s="1150"/>
      <c r="I12" s="1152"/>
    </row>
    <row r="13" spans="1:9" ht="15" customHeight="1">
      <c r="A13" s="1156" t="s">
        <v>695</v>
      </c>
      <c r="B13" s="1084" t="str">
        <f>'5. Anexo inversiones'!D12</f>
        <v>Guaguas 21 metros - 10 unidades</v>
      </c>
      <c r="C13" s="1147">
        <v>5800000</v>
      </c>
      <c r="D13" s="1148">
        <v>0</v>
      </c>
      <c r="E13" s="1149"/>
      <c r="F13" s="1148">
        <v>5800000</v>
      </c>
      <c r="G13" s="1148"/>
      <c r="H13" s="1148"/>
      <c r="I13" s="1041"/>
    </row>
    <row r="14" spans="1:9" ht="15" customHeight="1">
      <c r="A14" s="1156">
        <v>634</v>
      </c>
      <c r="B14" s="1084" t="str">
        <f>'5. Anexo inversiones'!D13</f>
        <v>Proyecto Next Generation Agrupación Municipios</v>
      </c>
      <c r="C14" s="1147">
        <v>5980000</v>
      </c>
      <c r="D14" s="1148">
        <v>598000</v>
      </c>
      <c r="E14" s="1149"/>
      <c r="F14" s="1148"/>
      <c r="G14" s="1148"/>
      <c r="H14" s="1148">
        <v>5382000</v>
      </c>
      <c r="I14" s="1151"/>
    </row>
    <row r="15" spans="1:9" ht="15" customHeight="1">
      <c r="A15" s="1156" t="s">
        <v>695</v>
      </c>
      <c r="B15" s="1084" t="str">
        <f>'5. Anexo inversiones'!D14</f>
        <v>Guaguas 12 metros - 10 unidades</v>
      </c>
      <c r="C15" s="1147">
        <v>3000000</v>
      </c>
      <c r="D15" s="1148">
        <v>0</v>
      </c>
      <c r="E15" s="1149"/>
      <c r="F15" s="1148">
        <v>3000000</v>
      </c>
      <c r="G15" s="1148"/>
      <c r="H15" s="1150"/>
      <c r="I15" s="1151"/>
    </row>
    <row r="16" spans="1:9" ht="15" customHeight="1">
      <c r="A16" s="1156">
        <v>634</v>
      </c>
      <c r="B16" s="1084" t="str">
        <f>'5. Anexo inversiones'!D15</f>
        <v>BRT Prioridad Semafórica</v>
      </c>
      <c r="C16" s="1147">
        <v>3000000</v>
      </c>
      <c r="D16" s="1148">
        <v>0</v>
      </c>
      <c r="E16" s="1149"/>
      <c r="F16" s="1148"/>
      <c r="G16" s="1148"/>
      <c r="H16" s="1150"/>
      <c r="I16" s="1151">
        <v>3000000</v>
      </c>
    </row>
    <row r="17" spans="1:9" ht="15" customHeight="1">
      <c r="A17" s="1156">
        <v>634</v>
      </c>
      <c r="B17" s="1084" t="str">
        <f>'5. Anexo inversiones'!D16</f>
        <v>Guaguas Eléctricas 12 metros - 4 unidades</v>
      </c>
      <c r="C17" s="1147">
        <v>2144000</v>
      </c>
      <c r="D17" s="1148">
        <v>214400</v>
      </c>
      <c r="E17" s="1149"/>
      <c r="F17" s="1148"/>
      <c r="G17" s="1148"/>
      <c r="H17" s="1148">
        <v>1929600</v>
      </c>
      <c r="I17" s="1151"/>
    </row>
    <row r="18" spans="1:9" ht="15" customHeight="1">
      <c r="A18" s="1156">
        <v>634</v>
      </c>
      <c r="B18" s="1084" t="str">
        <f>'5. Anexo inversiones'!D17</f>
        <v>Ampliación instalación eléctrica</v>
      </c>
      <c r="C18" s="1147">
        <v>1510000</v>
      </c>
      <c r="D18" s="1148">
        <v>0</v>
      </c>
      <c r="E18" s="1149"/>
      <c r="F18" s="1148">
        <v>1510000</v>
      </c>
      <c r="G18" s="1148"/>
      <c r="H18" s="1150"/>
      <c r="I18" s="1152"/>
    </row>
    <row r="19" spans="1:9" ht="15" customHeight="1">
      <c r="A19" s="1428">
        <v>633</v>
      </c>
      <c r="B19" s="1084" t="str">
        <f>'5. Anexo inversiones'!D18</f>
        <v>Paradas y Equipamiento (Proyecto METROGUAGUA)</v>
      </c>
      <c r="C19" s="1147">
        <v>1116768.2949999999</v>
      </c>
      <c r="D19" s="1148">
        <v>0</v>
      </c>
      <c r="E19" s="1149"/>
      <c r="F19" s="1148"/>
      <c r="G19" s="1148"/>
      <c r="H19" s="1150"/>
      <c r="I19" s="1151">
        <v>1116768.2949999999</v>
      </c>
    </row>
    <row r="20" spans="1:9" ht="15" customHeight="1">
      <c r="A20" s="1156" t="s">
        <v>695</v>
      </c>
      <c r="B20" s="1084" t="str">
        <f>'5. Anexo inversiones'!D19</f>
        <v>Obra Cocheras y Oficinas</v>
      </c>
      <c r="C20" s="1147">
        <v>949500</v>
      </c>
      <c r="D20" s="1148">
        <v>949500</v>
      </c>
      <c r="E20" s="1056"/>
      <c r="F20" s="1148"/>
      <c r="G20" s="1033"/>
      <c r="H20" s="1153"/>
      <c r="I20" s="1151"/>
    </row>
    <row r="21" spans="1:9" ht="15" customHeight="1">
      <c r="A21" s="1156">
        <v>622</v>
      </c>
      <c r="B21" s="1084" t="str">
        <f>'5. Anexo inversiones'!D20</f>
        <v>Guaguas Hidrógeno 12 metros - 1 unidad</v>
      </c>
      <c r="C21" s="1147">
        <v>605000</v>
      </c>
      <c r="D21" s="1148">
        <v>60500</v>
      </c>
      <c r="E21" s="1149"/>
      <c r="F21" s="1148"/>
      <c r="G21" s="1148"/>
      <c r="H21" s="1148">
        <v>544500</v>
      </c>
      <c r="I21" s="1041"/>
    </row>
    <row r="22" spans="1:9" ht="15" customHeight="1">
      <c r="A22" s="1156">
        <v>634</v>
      </c>
      <c r="B22" s="1084" t="str">
        <f>'5. Anexo inversiones'!D21</f>
        <v>Renovación Máquinas Liquidación</v>
      </c>
      <c r="C22" s="1147">
        <v>555000</v>
      </c>
      <c r="D22" s="1148">
        <v>555000</v>
      </c>
      <c r="E22" s="1149"/>
      <c r="F22" s="1148"/>
      <c r="G22" s="1148"/>
      <c r="H22" s="1148"/>
      <c r="I22" s="1041"/>
    </row>
    <row r="23" spans="1:9" ht="15" customHeight="1">
      <c r="A23" s="1156" t="s">
        <v>695</v>
      </c>
      <c r="B23" s="1084" t="str">
        <f>'5. Anexo inversiones'!D22</f>
        <v>Adquisición y Desarrollos de Software Varios Departamentos</v>
      </c>
      <c r="C23" s="1147">
        <v>355000</v>
      </c>
      <c r="D23" s="1148">
        <v>355000</v>
      </c>
      <c r="E23" s="1149"/>
      <c r="F23" s="1040"/>
      <c r="G23" s="1148"/>
      <c r="H23" s="1148"/>
      <c r="I23" s="1041"/>
    </row>
    <row r="24" spans="1:9" ht="15" customHeight="1">
      <c r="A24" s="1156" t="s">
        <v>695</v>
      </c>
      <c r="B24" s="1084" t="str">
        <f>'5. Anexo inversiones'!D23</f>
        <v xml:space="preserve">Instalaciones y maquinaria taller </v>
      </c>
      <c r="C24" s="1147">
        <v>346800</v>
      </c>
      <c r="D24" s="1148">
        <v>346800</v>
      </c>
      <c r="E24" s="1149"/>
      <c r="F24" s="1040"/>
      <c r="G24" s="1148"/>
      <c r="H24" s="1150"/>
      <c r="I24" s="1152"/>
    </row>
    <row r="25" spans="1:9" ht="15" customHeight="1">
      <c r="A25" s="1428">
        <v>633</v>
      </c>
      <c r="B25" s="1084" t="str">
        <f>'5. Anexo inversiones'!D24</f>
        <v>Reforma Oficina Obelisco</v>
      </c>
      <c r="C25" s="1147">
        <v>100000</v>
      </c>
      <c r="D25" s="1148">
        <v>100000</v>
      </c>
      <c r="E25" s="1149"/>
      <c r="F25" s="1040"/>
      <c r="G25" s="1148"/>
      <c r="H25" s="1150"/>
      <c r="I25" s="1152"/>
    </row>
    <row r="26" spans="1:9" ht="15" customHeight="1">
      <c r="A26" s="1156">
        <v>622</v>
      </c>
      <c r="B26" s="1084" t="str">
        <f>'5. Anexo inversiones'!D25</f>
        <v>Asesoramiento MetroGuagua (Consultoría)</v>
      </c>
      <c r="C26" s="1147">
        <v>91500</v>
      </c>
      <c r="D26" s="1148">
        <v>0</v>
      </c>
      <c r="E26" s="946"/>
      <c r="F26" s="1040"/>
      <c r="G26" s="1148"/>
      <c r="H26" s="1150"/>
      <c r="I26" s="1151">
        <v>91500</v>
      </c>
    </row>
    <row r="27" spans="1:9" ht="15" customHeight="1">
      <c r="A27" s="1156" t="s">
        <v>695</v>
      </c>
      <c r="B27" s="1084" t="str">
        <f>'5. Anexo inversiones'!D26</f>
        <v>Software de análisis de cumplimiento servicio (Swifty)</v>
      </c>
      <c r="C27" s="1147">
        <v>75000</v>
      </c>
      <c r="D27" s="1148">
        <v>75000</v>
      </c>
      <c r="E27" s="1149"/>
      <c r="F27" s="1040"/>
      <c r="G27" s="1148"/>
      <c r="H27" s="1150"/>
      <c r="I27" s="1151"/>
    </row>
    <row r="28" spans="1:9" ht="15" customHeight="1">
      <c r="A28" s="1156" t="s">
        <v>695</v>
      </c>
      <c r="B28" s="1084" t="str">
        <f>'5. Anexo inversiones'!D27</f>
        <v>Sortware de anális de trayectos y líneas (Remix)</v>
      </c>
      <c r="C28" s="1147">
        <v>75000</v>
      </c>
      <c r="D28" s="1148">
        <v>75000</v>
      </c>
      <c r="E28" s="1149"/>
      <c r="F28" s="1040"/>
      <c r="G28" s="1148"/>
      <c r="H28" s="1150"/>
      <c r="I28" s="1152"/>
    </row>
    <row r="29" spans="1:9" ht="15" customHeight="1">
      <c r="A29" s="1156" t="s">
        <v>695</v>
      </c>
      <c r="B29" s="1084" t="str">
        <f>'5. Anexo inversiones'!D28</f>
        <v xml:space="preserve">Actuaciones Terminal Las Arenas </v>
      </c>
      <c r="C29" s="1147">
        <v>70000</v>
      </c>
      <c r="D29" s="1148">
        <v>70000</v>
      </c>
      <c r="E29" s="1149"/>
      <c r="F29" s="1040"/>
      <c r="G29" s="1148"/>
      <c r="H29" s="1150"/>
      <c r="I29" s="1151"/>
    </row>
    <row r="30" spans="1:9" ht="15" customHeight="1">
      <c r="A30" s="1156">
        <v>622</v>
      </c>
      <c r="B30" s="1084" t="str">
        <f>'5. Anexo inversiones'!D29</f>
        <v>Actuaciones Terminal Teatro</v>
      </c>
      <c r="C30" s="1147">
        <v>70000</v>
      </c>
      <c r="D30" s="1148">
        <v>70000</v>
      </c>
      <c r="E30" s="946"/>
      <c r="F30" s="1040"/>
      <c r="G30" s="1148"/>
      <c r="H30" s="1150"/>
      <c r="I30" s="1152"/>
    </row>
    <row r="31" spans="1:9" ht="15" customHeight="1">
      <c r="A31" s="1156">
        <v>622</v>
      </c>
      <c r="B31" s="1084" t="str">
        <f>'5. Anexo inversiones'!D30</f>
        <v>Vehículos auxiliares</v>
      </c>
      <c r="C31" s="1147">
        <v>70000</v>
      </c>
      <c r="D31" s="1148">
        <v>70000</v>
      </c>
      <c r="E31" s="946"/>
      <c r="F31" s="1040"/>
      <c r="G31" s="1148"/>
      <c r="H31" s="1150"/>
      <c r="I31" s="1152"/>
    </row>
    <row r="32" spans="1:9" ht="15" customHeight="1">
      <c r="A32" s="1156">
        <v>634</v>
      </c>
      <c r="B32" s="1084" t="str">
        <f>'5. Anexo inversiones'!D31</f>
        <v>Adquisición de Hardware (Servidores, Copias de Seguridad, CPUs…)</v>
      </c>
      <c r="C32" s="1147">
        <v>50000</v>
      </c>
      <c r="D32" s="1148">
        <v>50000</v>
      </c>
      <c r="E32" s="946"/>
      <c r="F32" s="1040"/>
      <c r="G32" s="1148"/>
      <c r="H32" s="1150"/>
      <c r="I32" s="1152"/>
    </row>
    <row r="33" spans="1:9" ht="15" customHeight="1">
      <c r="A33" s="1156" t="s">
        <v>695</v>
      </c>
      <c r="B33" s="1084" t="str">
        <f>'5. Anexo inversiones'!D32</f>
        <v>Redaccón Proyecto Rafael Cabrera (METROGUAGUA)</v>
      </c>
      <c r="C33" s="1147">
        <v>40768.54</v>
      </c>
      <c r="D33" s="1148">
        <v>0</v>
      </c>
      <c r="E33" s="946"/>
      <c r="F33" s="1040"/>
      <c r="G33" s="1148"/>
      <c r="H33" s="1150"/>
      <c r="I33" s="1151">
        <v>40768.54</v>
      </c>
    </row>
    <row r="34" spans="1:9" ht="15" customHeight="1">
      <c r="A34" s="1156">
        <v>622</v>
      </c>
      <c r="B34" s="1084" t="str">
        <f>'5. Anexo inversiones'!D33</f>
        <v>Reforma Manuel Becera</v>
      </c>
      <c r="C34" s="1147">
        <v>40000</v>
      </c>
      <c r="D34" s="1148">
        <v>40000</v>
      </c>
      <c r="E34" s="946"/>
      <c r="F34" s="1040"/>
      <c r="G34" s="1148"/>
      <c r="H34" s="1150"/>
      <c r="I34" s="1152"/>
    </row>
    <row r="35" spans="1:9" ht="15" customHeight="1">
      <c r="A35" s="1156">
        <v>622</v>
      </c>
      <c r="B35" s="1084" t="str">
        <f>'5. Anexo inversiones'!D34</f>
        <v>Otros Desarrollos Tecnológicos</v>
      </c>
      <c r="C35" s="1147">
        <v>25000</v>
      </c>
      <c r="D35" s="1148">
        <v>25000</v>
      </c>
      <c r="E35" s="946"/>
      <c r="F35" s="1040"/>
      <c r="G35" s="1148"/>
      <c r="H35" s="1150"/>
      <c r="I35" s="1152"/>
    </row>
    <row r="36" spans="1:9" ht="15" customHeight="1">
      <c r="A36" s="1156" t="s">
        <v>695</v>
      </c>
      <c r="B36" s="1084" t="str">
        <f>'5. Anexo inversiones'!D35</f>
        <v>Otros Administración</v>
      </c>
      <c r="C36" s="1147">
        <v>10000</v>
      </c>
      <c r="D36" s="1148">
        <v>10000</v>
      </c>
      <c r="E36" s="946"/>
      <c r="F36" s="1040"/>
      <c r="G36" s="1148"/>
      <c r="H36" s="1150"/>
      <c r="I36" s="1152"/>
    </row>
    <row r="37" spans="1:9" ht="15" hidden="1" customHeight="1" outlineLevel="1">
      <c r="A37" s="1429"/>
      <c r="B37" s="1154"/>
      <c r="C37" s="1147">
        <v>0</v>
      </c>
      <c r="D37" s="1148">
        <v>0</v>
      </c>
      <c r="E37" s="946"/>
      <c r="F37" s="1040"/>
      <c r="G37" s="1148"/>
      <c r="H37" s="1148"/>
      <c r="I37" s="1041"/>
    </row>
    <row r="38" spans="1:9" ht="15" hidden="1" customHeight="1" outlineLevel="1">
      <c r="A38" s="1155"/>
      <c r="B38" s="1154"/>
      <c r="C38" s="1147">
        <v>0</v>
      </c>
      <c r="D38" s="1148">
        <v>0</v>
      </c>
      <c r="E38" s="946"/>
      <c r="F38" s="1040"/>
      <c r="G38" s="1148"/>
      <c r="H38" s="1150"/>
      <c r="I38" s="1152"/>
    </row>
    <row r="39" spans="1:9" ht="15" hidden="1" customHeight="1" outlineLevel="1">
      <c r="A39" s="1429"/>
      <c r="B39" s="1154"/>
      <c r="C39" s="1147">
        <v>0</v>
      </c>
      <c r="D39" s="1148">
        <v>0</v>
      </c>
      <c r="E39" s="946"/>
      <c r="F39" s="1040"/>
      <c r="G39" s="1148"/>
      <c r="H39" s="1150"/>
      <c r="I39" s="1152"/>
    </row>
    <row r="40" spans="1:9" ht="15" hidden="1" customHeight="1" outlineLevel="1">
      <c r="A40" s="1429"/>
      <c r="B40" s="1154"/>
      <c r="C40" s="1147">
        <v>0</v>
      </c>
      <c r="D40" s="1148">
        <v>0</v>
      </c>
      <c r="E40" s="946"/>
      <c r="F40" s="1040"/>
      <c r="G40" s="1148"/>
      <c r="H40" s="1150"/>
      <c r="I40" s="1152"/>
    </row>
    <row r="41" spans="1:9" ht="15" hidden="1" customHeight="1" outlineLevel="1">
      <c r="A41" s="1429"/>
      <c r="B41" s="1154"/>
      <c r="C41" s="1147">
        <v>0</v>
      </c>
      <c r="D41" s="1148">
        <v>0</v>
      </c>
      <c r="E41" s="946"/>
      <c r="F41" s="1040"/>
      <c r="G41" s="1148"/>
      <c r="H41" s="1150"/>
      <c r="I41" s="1152"/>
    </row>
    <row r="42" spans="1:9" ht="15" hidden="1" customHeight="1" outlineLevel="1">
      <c r="A42" s="1429"/>
      <c r="B42" s="1154"/>
      <c r="C42" s="1147">
        <v>0</v>
      </c>
      <c r="D42" s="1148">
        <v>0</v>
      </c>
      <c r="E42" s="946"/>
      <c r="F42" s="1040"/>
      <c r="G42" s="1148"/>
      <c r="H42" s="1150"/>
      <c r="I42" s="1152"/>
    </row>
    <row r="43" spans="1:9" ht="15" hidden="1" customHeight="1" outlineLevel="1">
      <c r="A43" s="1155"/>
      <c r="B43" s="1154"/>
      <c r="C43" s="1147">
        <v>0</v>
      </c>
      <c r="D43" s="1148">
        <v>0</v>
      </c>
      <c r="E43" s="946"/>
      <c r="F43" s="1040"/>
      <c r="G43" s="1148"/>
      <c r="H43" s="1150"/>
      <c r="I43" s="1152"/>
    </row>
    <row r="44" spans="1:9" ht="15" hidden="1" customHeight="1" outlineLevel="1">
      <c r="A44" s="1155"/>
      <c r="B44" s="1154"/>
      <c r="C44" s="1147">
        <v>0</v>
      </c>
      <c r="D44" s="1148">
        <v>0</v>
      </c>
      <c r="E44" s="946"/>
      <c r="F44" s="1040"/>
      <c r="G44" s="1148"/>
      <c r="H44" s="1150"/>
      <c r="I44" s="1152"/>
    </row>
    <row r="45" spans="1:9" ht="15" hidden="1" customHeight="1" outlineLevel="1">
      <c r="A45" s="1429"/>
      <c r="B45" s="1154"/>
      <c r="C45" s="1147">
        <v>0</v>
      </c>
      <c r="D45" s="1148">
        <v>0</v>
      </c>
      <c r="E45" s="946"/>
      <c r="F45" s="1040"/>
      <c r="G45" s="1148"/>
      <c r="H45" s="1150"/>
      <c r="I45" s="1152"/>
    </row>
    <row r="46" spans="1:9" ht="15" hidden="1" customHeight="1" outlineLevel="1">
      <c r="A46" s="1429"/>
      <c r="B46" s="1154"/>
      <c r="C46" s="1147">
        <v>0</v>
      </c>
      <c r="D46" s="1148">
        <v>0</v>
      </c>
      <c r="E46" s="946"/>
      <c r="F46" s="1040"/>
      <c r="G46" s="1148"/>
      <c r="H46" s="1148"/>
      <c r="I46" s="1041"/>
    </row>
    <row r="47" spans="1:9" ht="15" hidden="1" customHeight="1" outlineLevel="1">
      <c r="A47" s="1429"/>
      <c r="B47" s="1154"/>
      <c r="C47" s="1147">
        <v>0</v>
      </c>
      <c r="D47" s="1148">
        <v>0</v>
      </c>
      <c r="E47" s="946"/>
      <c r="F47" s="1040"/>
      <c r="G47" s="1148"/>
      <c r="H47" s="1150"/>
      <c r="I47" s="1152"/>
    </row>
    <row r="48" spans="1:9" ht="15" hidden="1" customHeight="1" outlineLevel="1">
      <c r="A48" s="1429"/>
      <c r="B48" s="1154"/>
      <c r="C48" s="1147">
        <v>0</v>
      </c>
      <c r="D48" s="1148">
        <v>0</v>
      </c>
      <c r="E48" s="946"/>
      <c r="F48" s="1040"/>
      <c r="G48" s="1148"/>
      <c r="H48" s="1150"/>
      <c r="I48" s="1152"/>
    </row>
    <row r="49" spans="1:9" ht="15" hidden="1" customHeight="1" outlineLevel="1">
      <c r="A49" s="1155"/>
      <c r="B49" s="1154"/>
      <c r="C49" s="1147">
        <v>0</v>
      </c>
      <c r="D49" s="1148">
        <v>0</v>
      </c>
      <c r="E49" s="946"/>
      <c r="F49" s="1040"/>
      <c r="G49" s="1148"/>
      <c r="H49" s="1150"/>
      <c r="I49" s="1152"/>
    </row>
    <row r="50" spans="1:9" ht="15" hidden="1" customHeight="1" outlineLevel="1">
      <c r="A50" s="1429"/>
      <c r="B50" s="1154"/>
      <c r="C50" s="1147">
        <v>0</v>
      </c>
      <c r="D50" s="1148">
        <v>0</v>
      </c>
      <c r="E50" s="946"/>
      <c r="F50" s="1040"/>
      <c r="G50" s="1148"/>
      <c r="H50" s="1150"/>
      <c r="I50" s="1152"/>
    </row>
    <row r="51" spans="1:9" ht="15" hidden="1" customHeight="1" outlineLevel="1">
      <c r="A51" s="1429"/>
      <c r="B51" s="1154"/>
      <c r="C51" s="1147">
        <v>0</v>
      </c>
      <c r="D51" s="1148">
        <v>0</v>
      </c>
      <c r="E51" s="946"/>
      <c r="F51" s="1040"/>
      <c r="G51" s="1148"/>
      <c r="H51" s="1150"/>
      <c r="I51" s="1152"/>
    </row>
    <row r="52" spans="1:9" ht="15" hidden="1" customHeight="1" outlineLevel="1">
      <c r="A52" s="1429"/>
      <c r="B52" s="1154"/>
      <c r="C52" s="1147">
        <v>0</v>
      </c>
      <c r="D52" s="1148">
        <v>0</v>
      </c>
      <c r="E52" s="946"/>
      <c r="F52" s="1040"/>
      <c r="G52" s="1148"/>
      <c r="H52" s="1150"/>
      <c r="I52" s="1152"/>
    </row>
    <row r="53" spans="1:9" ht="15" hidden="1" customHeight="1" outlineLevel="1">
      <c r="A53" s="1429"/>
      <c r="B53" s="1154"/>
      <c r="C53" s="1147">
        <v>0</v>
      </c>
      <c r="D53" s="1148">
        <v>0</v>
      </c>
      <c r="E53" s="946"/>
      <c r="F53" s="1040"/>
      <c r="G53" s="1148"/>
      <c r="H53" s="1150"/>
      <c r="I53" s="1152"/>
    </row>
    <row r="54" spans="1:9" ht="15" hidden="1" customHeight="1" outlineLevel="1">
      <c r="A54" s="1155"/>
      <c r="B54" s="1154"/>
      <c r="C54" s="1147">
        <v>0</v>
      </c>
      <c r="D54" s="1148">
        <v>0</v>
      </c>
      <c r="E54" s="946"/>
      <c r="F54" s="1040"/>
      <c r="G54" s="1148"/>
      <c r="H54" s="1150"/>
      <c r="I54" s="1152"/>
    </row>
    <row r="55" spans="1:9" ht="15" hidden="1" customHeight="1" outlineLevel="1">
      <c r="A55" s="1429"/>
      <c r="B55" s="1154"/>
      <c r="C55" s="1147">
        <v>0</v>
      </c>
      <c r="D55" s="1148">
        <v>0</v>
      </c>
      <c r="E55" s="946"/>
      <c r="F55" s="1040"/>
      <c r="G55" s="1148"/>
      <c r="H55" s="1150"/>
      <c r="I55" s="1152"/>
    </row>
    <row r="56" spans="1:9" ht="15" hidden="1" customHeight="1" outlineLevel="1">
      <c r="A56" s="1155"/>
      <c r="B56" s="1154"/>
      <c r="C56" s="1147">
        <v>0</v>
      </c>
      <c r="D56" s="1148">
        <v>0</v>
      </c>
      <c r="E56" s="946"/>
      <c r="F56" s="1040"/>
      <c r="G56" s="1148"/>
      <c r="H56" s="1150"/>
      <c r="I56" s="1152"/>
    </row>
    <row r="57" spans="1:9" ht="15" hidden="1" customHeight="1" outlineLevel="1">
      <c r="A57" s="1155"/>
      <c r="B57" s="1154"/>
      <c r="C57" s="1147">
        <v>0</v>
      </c>
      <c r="D57" s="1148">
        <v>0</v>
      </c>
      <c r="E57" s="1149"/>
      <c r="F57" s="1040"/>
      <c r="G57" s="1148"/>
      <c r="H57" s="1150"/>
      <c r="I57" s="1152"/>
    </row>
    <row r="58" spans="1:9" ht="15" hidden="1" customHeight="1" outlineLevel="1">
      <c r="A58" s="1155"/>
      <c r="B58" s="1154"/>
      <c r="C58" s="1147">
        <v>0</v>
      </c>
      <c r="D58" s="1148">
        <v>0</v>
      </c>
      <c r="E58" s="946"/>
      <c r="F58" s="1040"/>
      <c r="G58" s="1148"/>
      <c r="H58" s="1150"/>
      <c r="I58" s="1152"/>
    </row>
    <row r="59" spans="1:9" ht="15" hidden="1" customHeight="1" outlineLevel="1">
      <c r="A59" s="1155"/>
      <c r="B59" s="1154"/>
      <c r="C59" s="1147">
        <v>0</v>
      </c>
      <c r="D59" s="1148">
        <v>0</v>
      </c>
      <c r="E59" s="946"/>
      <c r="F59" s="1040"/>
      <c r="G59" s="1148"/>
      <c r="H59" s="1150"/>
      <c r="I59" s="1152"/>
    </row>
    <row r="60" spans="1:9" ht="15" hidden="1" customHeight="1" outlineLevel="1">
      <c r="A60" s="1155"/>
      <c r="B60" s="1154"/>
      <c r="C60" s="1147">
        <v>0</v>
      </c>
      <c r="D60" s="1148">
        <v>0</v>
      </c>
      <c r="E60" s="946"/>
      <c r="F60" s="1040"/>
      <c r="G60" s="1148"/>
      <c r="H60" s="1150"/>
      <c r="I60" s="1152"/>
    </row>
    <row r="61" spans="1:9" ht="15" hidden="1" customHeight="1" outlineLevel="1">
      <c r="A61" s="1155"/>
      <c r="B61" s="1154"/>
      <c r="C61" s="1147">
        <v>0</v>
      </c>
      <c r="D61" s="1148">
        <v>0</v>
      </c>
      <c r="E61" s="946"/>
      <c r="F61" s="1040"/>
      <c r="G61" s="1148"/>
      <c r="H61" s="1150"/>
      <c r="I61" s="1152"/>
    </row>
    <row r="62" spans="1:9" ht="15" hidden="1" customHeight="1" outlineLevel="1">
      <c r="A62" s="1156"/>
      <c r="B62" s="1086">
        <f>'5. Anexo inversiones'!D62</f>
        <v>0</v>
      </c>
      <c r="C62" s="1147">
        <v>0</v>
      </c>
      <c r="D62" s="1148">
        <v>0</v>
      </c>
      <c r="E62" s="946"/>
      <c r="F62" s="1040"/>
      <c r="G62" s="1148"/>
      <c r="H62" s="1150"/>
      <c r="I62" s="1152"/>
    </row>
    <row r="63" spans="1:9" ht="15" hidden="1" customHeight="1" outlineLevel="1">
      <c r="A63" s="1156"/>
      <c r="B63" s="1086">
        <f>'5. Anexo inversiones'!D63</f>
        <v>0</v>
      </c>
      <c r="C63" s="1147">
        <v>0</v>
      </c>
      <c r="D63" s="1148">
        <v>0</v>
      </c>
      <c r="E63" s="946"/>
      <c r="F63" s="1040"/>
      <c r="G63" s="1148"/>
      <c r="H63" s="1150"/>
      <c r="I63" s="1152"/>
    </row>
    <row r="64" spans="1:9" ht="13.5" collapsed="1" thickBot="1">
      <c r="A64" s="1087"/>
      <c r="B64" s="1127" t="s">
        <v>104</v>
      </c>
      <c r="C64" s="1430">
        <v>44382637.067999996</v>
      </c>
      <c r="D64" s="1430">
        <v>3664200</v>
      </c>
      <c r="E64" s="1430">
        <v>0</v>
      </c>
      <c r="F64" s="1430">
        <v>18208500</v>
      </c>
      <c r="G64" s="1430">
        <v>0</v>
      </c>
      <c r="H64" s="1430">
        <v>7856100</v>
      </c>
      <c r="I64" s="1431">
        <v>14653837.067999998</v>
      </c>
    </row>
    <row r="66" spans="1:8">
      <c r="C66" s="568"/>
      <c r="D66" s="570"/>
      <c r="E66" s="568"/>
      <c r="F66" s="568"/>
      <c r="G66" s="568"/>
      <c r="H66" s="568"/>
    </row>
    <row r="67" spans="1:8">
      <c r="F67" s="804"/>
    </row>
    <row r="68" spans="1:8">
      <c r="F68" s="804"/>
    </row>
    <row r="74" spans="1:8">
      <c r="A74" s="729"/>
    </row>
  </sheetData>
  <mergeCells count="13">
    <mergeCell ref="A8:A10"/>
    <mergeCell ref="B8:B10"/>
    <mergeCell ref="C8:C10"/>
    <mergeCell ref="D8:I8"/>
    <mergeCell ref="D9:D10"/>
    <mergeCell ref="E9:E10"/>
    <mergeCell ref="F9:I9"/>
    <mergeCell ref="A7:I7"/>
    <mergeCell ref="A2:I2"/>
    <mergeCell ref="A3:G3"/>
    <mergeCell ref="A4:G4"/>
    <mergeCell ref="B5:E5"/>
    <mergeCell ref="A6:I6"/>
  </mergeCells>
  <pageMargins left="0.70866141732283472" right="0.70866141732283472" top="0.74803149606299213" bottom="0.74803149606299213"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15</vt:i4>
      </vt:variant>
    </vt:vector>
  </HeadingPairs>
  <TitlesOfParts>
    <vt:vector size="41" baseType="lpstr">
      <vt:lpstr>Hoja1</vt:lpstr>
      <vt:lpstr>3. P y G PRESENTACION</vt:lpstr>
      <vt:lpstr>1.-2. Balance Ajustado</vt:lpstr>
      <vt:lpstr>4. Flujos de Tesorería</vt:lpstr>
      <vt:lpstr>Conciliación Balance Tesorería</vt:lpstr>
      <vt:lpstr>1.-2.Balance</vt:lpstr>
      <vt:lpstr>Tesorería</vt:lpstr>
      <vt:lpstr>5. Anexo inversiones</vt:lpstr>
      <vt:lpstr>6. Actuación, inversiones y Fin</vt:lpstr>
      <vt:lpstr>7. Indicadores</vt:lpstr>
      <vt:lpstr>8. Financiación de actividades</vt:lpstr>
      <vt:lpstr>9.  Memoria</vt:lpstr>
      <vt:lpstr>12.- estado deuda</vt:lpstr>
      <vt:lpstr>13.subvenc.</vt:lpstr>
      <vt:lpstr>14. plantillas y retrib.</vt:lpstr>
      <vt:lpstr>A ACLARAR</vt:lpstr>
      <vt:lpstr>Info Pasajeros e Ingresos P20</vt:lpstr>
      <vt:lpstr>Explicación Variaciones Ingreso</vt:lpstr>
      <vt:lpstr>600</vt:lpstr>
      <vt:lpstr>Hoja3</vt:lpstr>
      <vt:lpstr>PREVISIÓN PRÉSTAMO</vt:lpstr>
      <vt:lpstr>Ventas Ene-Ago</vt:lpstr>
      <vt:lpstr>Ventas Ytd</vt:lpstr>
      <vt:lpstr>Pendientes</vt:lpstr>
      <vt:lpstr>Tablas de Amortización</vt:lpstr>
      <vt:lpstr>Adelanto 2019</vt:lpstr>
      <vt:lpstr>'1.-2. Balance Ajustado'!Área_de_impresión</vt:lpstr>
      <vt:lpstr>'1.-2.Balance'!Área_de_impresión</vt:lpstr>
      <vt:lpstr>'12.- estado deuda'!Área_de_impresión</vt:lpstr>
      <vt:lpstr>'13.subvenc.'!Área_de_impresión</vt:lpstr>
      <vt:lpstr>'14. plantillas y retrib.'!Área_de_impresión</vt:lpstr>
      <vt:lpstr>'3. P y G PRESENTACION'!Área_de_impresión</vt:lpstr>
      <vt:lpstr>'4. Flujos de Tesorería'!Área_de_impresión</vt:lpstr>
      <vt:lpstr>'5. Anexo inversiones'!Área_de_impresión</vt:lpstr>
      <vt:lpstr>'6. Actuación, inversiones y Fin'!Área_de_impresión</vt:lpstr>
      <vt:lpstr>'7. Indicadores'!Área_de_impresión</vt:lpstr>
      <vt:lpstr>'8. Financiación de actividades'!Área_de_impresión</vt:lpstr>
      <vt:lpstr>'9.  Memoria'!Área_de_impresión</vt:lpstr>
      <vt:lpstr>Tesorería!Área_de_impresión</vt:lpstr>
      <vt:lpstr>'12.- estado deuda'!Títulos_a_imprimir</vt:lpstr>
      <vt:lpstr>'3. P y G PRESENTACION'!Títulos_a_imprimir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angel.placeres</dc:creator>
  <cp:lastModifiedBy>german.vega</cp:lastModifiedBy>
  <cp:lastPrinted>2023-01-12T15:14:10Z</cp:lastPrinted>
  <dcterms:created xsi:type="dcterms:W3CDTF">2019-10-01T14:22:06Z</dcterms:created>
  <dcterms:modified xsi:type="dcterms:W3CDTF">2023-08-21T12:01:19Z</dcterms:modified>
</cp:coreProperties>
</file>